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codeName="{4D1C537B-E38A-612A-F078-A93A15B4B7F4}"/>
  <workbookPr codeName="ThisWorkbook" defaultThemeVersion="124226"/>
  <mc:AlternateContent xmlns:mc="http://schemas.openxmlformats.org/markup-compatibility/2006">
    <mc:Choice Requires="x15">
      <x15ac:absPath xmlns:x15ac="http://schemas.microsoft.com/office/spreadsheetml/2010/11/ac" url="D:\Dropbox\05-網路行銷\01_網路行銷_專案01_特休\00_特休程式(最終版)\"/>
    </mc:Choice>
  </mc:AlternateContent>
  <xr:revisionPtr revIDLastSave="0" documentId="13_ncr:1_{DDEC561C-F069-4005-B8DC-20FF4FFBA1CF}" xr6:coauthVersionLast="46" xr6:coauthVersionMax="46" xr10:uidLastSave="{00000000-0000-0000-0000-000000000000}"/>
  <workbookProtection workbookAlgorithmName="SHA-512" workbookHashValue="Vs7zUndgdrT5b6lCyp862sV2M79WQKjhZpU/qupURGWFPEn8B3+nVQGbuq7wbwrs4vWMnG3vkl/nkpQn8WwQ4Q==" workbookSaltValue="XyUsNPj8FXNr+IW7PkA7fw==" workbookSpinCount="100000" lockStructure="1"/>
  <bookViews>
    <workbookView xWindow="-19310" yWindow="-110" windowWidth="19420" windowHeight="10560" tabRatio="628" firstSheet="5" activeTab="8" xr2:uid="{00000000-000D-0000-FFFF-FFFF00000000}"/>
  </bookViews>
  <sheets>
    <sheet name="聯絡我" sheetId="23" r:id="rId1"/>
    <sheet name="勞基法1071121" sheetId="3" r:id="rId2"/>
    <sheet name="勞基法施行細則1080214" sheetId="19" r:id="rId3"/>
    <sheet name="問題" sheetId="20" r:id="rId4"/>
    <sheet name="到職日後強制進位至整數" sheetId="22" r:id="rId5"/>
    <sheet name="官方算法_到職日前四捨五入到小數第二位" sheetId="26" r:id="rId6"/>
    <sheet name="到職日後四捨五入進位至整數" sheetId="16" r:id="rId7"/>
    <sheet name="員工資料整理區" sheetId="21" r:id="rId8"/>
    <sheet name="特休試算" sheetId="18" r:id="rId9"/>
    <sheet name="統計表" sheetId="24" r:id="rId10"/>
    <sheet name="Sheet1" sheetId="25" r:id="rId11"/>
  </sheets>
  <definedNames>
    <definedName name="_xlnm._FilterDatabase" localSheetId="8">特休試算!$F$10:$AC$10</definedName>
    <definedName name="_xlnm.Print_Area" localSheetId="6">到職日後四捨五入進位至整數!$AK$1:$AW$32</definedName>
    <definedName name="_xlnm.Print_Area" localSheetId="8">特休試算!$G$10:$M$66</definedName>
    <definedName name="特休">特休試算!$B$12:$C$59</definedName>
    <definedName name="特休表">官方算法_到職日前四捨五入到小數第二位!$C$4:$D$51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3" i="16" l="1"/>
  <c r="AE21" i="26"/>
  <c r="AA21" i="26"/>
  <c r="W21" i="26"/>
  <c r="S21" i="26"/>
  <c r="O21" i="26"/>
  <c r="K21" i="26"/>
  <c r="I21" i="26"/>
  <c r="AE23" i="22"/>
  <c r="C59" i="18"/>
  <c r="C58" i="18"/>
  <c r="C57" i="18"/>
  <c r="C56" i="18"/>
  <c r="C55" i="18"/>
  <c r="C54" i="18"/>
  <c r="C53" i="18"/>
  <c r="C52" i="18"/>
  <c r="C51" i="18"/>
  <c r="C50" i="18"/>
  <c r="C49" i="18"/>
  <c r="C48" i="18"/>
  <c r="C47" i="18"/>
  <c r="C46" i="18"/>
  <c r="C45" i="18"/>
  <c r="C44" i="18"/>
  <c r="C43" i="18"/>
  <c r="C42" i="18"/>
  <c r="C41" i="18"/>
  <c r="C40" i="18"/>
  <c r="C39" i="18"/>
  <c r="AJ3" i="22" l="1"/>
  <c r="AI3" i="22"/>
  <c r="AH3" i="22"/>
  <c r="AG3" i="22"/>
  <c r="AF3" i="22"/>
  <c r="AN4" i="22"/>
  <c r="AM4" i="22"/>
  <c r="AN3" i="22"/>
  <c r="AM3" i="22"/>
  <c r="AJ3" i="26"/>
  <c r="AI3" i="26"/>
  <c r="AH3" i="26"/>
  <c r="AG3" i="26"/>
  <c r="AF3" i="26"/>
  <c r="AN4" i="26"/>
  <c r="AM4" i="26"/>
  <c r="AN3" i="26"/>
  <c r="AM3" i="26"/>
  <c r="AJ3" i="16"/>
  <c r="AI3" i="16"/>
  <c r="AH3" i="16"/>
  <c r="AG3" i="16"/>
  <c r="AF3" i="16"/>
  <c r="AN4" i="16"/>
  <c r="AN3" i="16"/>
  <c r="AM4" i="16"/>
  <c r="AM3" i="16"/>
  <c r="Z5" i="18"/>
  <c r="Y5" i="18"/>
  <c r="AC10" i="18"/>
  <c r="AD10" i="18"/>
  <c r="AF2" i="18"/>
  <c r="AF10" i="18"/>
  <c r="AI11" i="18"/>
  <c r="AI12" i="18"/>
  <c r="AE10" i="18"/>
  <c r="AE2" i="18"/>
  <c r="AJ12" i="18"/>
  <c r="AJ11" i="18"/>
  <c r="AG13" i="18" l="1"/>
  <c r="AB2" i="18"/>
  <c r="AB10" i="18"/>
  <c r="A670" i="3" l="1"/>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7" i="3"/>
  <c r="A636" i="3"/>
  <c r="A635" i="3"/>
  <c r="A634" i="3"/>
  <c r="A633" i="3"/>
  <c r="A632" i="3"/>
  <c r="A631" i="3"/>
  <c r="A630" i="3"/>
  <c r="A629" i="3"/>
  <c r="A628" i="3"/>
  <c r="A627" i="3"/>
  <c r="A626" i="3"/>
  <c r="A625" i="3"/>
  <c r="A624" i="3"/>
  <c r="A623" i="3"/>
  <c r="A622" i="3"/>
  <c r="A621" i="3"/>
  <c r="A620" i="3"/>
  <c r="A619" i="3"/>
  <c r="A618" i="3"/>
  <c r="A617" i="3"/>
  <c r="A616" i="3"/>
  <c r="A615" i="3"/>
  <c r="A613" i="3"/>
  <c r="A612" i="3"/>
  <c r="A611" i="3"/>
  <c r="A610" i="3"/>
  <c r="A609" i="3"/>
  <c r="A608" i="3"/>
  <c r="A607" i="3"/>
  <c r="A606" i="3"/>
  <c r="A605" i="3"/>
  <c r="A604" i="3"/>
  <c r="A603" i="3"/>
  <c r="A602" i="3"/>
  <c r="A601" i="3"/>
  <c r="A600" i="3"/>
  <c r="A599" i="3"/>
  <c r="A598" i="3"/>
  <c r="A597" i="3"/>
  <c r="A596" i="3"/>
  <c r="A595" i="3"/>
  <c r="A593" i="3"/>
  <c r="A592" i="3"/>
  <c r="A591" i="3"/>
  <c r="A590" i="3"/>
  <c r="A589" i="3"/>
  <c r="A588" i="3"/>
  <c r="A587" i="3"/>
  <c r="A586"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8" i="3"/>
  <c r="A557" i="3"/>
  <c r="A556" i="3"/>
  <c r="A555" i="3"/>
  <c r="A554" i="3"/>
  <c r="A553" i="3"/>
  <c r="A552" i="3"/>
  <c r="A551" i="3"/>
  <c r="A550" i="3"/>
  <c r="A549" i="3"/>
  <c r="A548" i="3"/>
  <c r="A547" i="3"/>
  <c r="A546" i="3"/>
  <c r="A545" i="3"/>
  <c r="A544" i="3"/>
  <c r="A543" i="3"/>
  <c r="A542" i="3"/>
  <c r="A541" i="3"/>
  <c r="A540" i="3"/>
  <c r="A538" i="3"/>
  <c r="A537" i="3"/>
  <c r="A536" i="3"/>
  <c r="A535" i="3"/>
  <c r="A534" i="3"/>
  <c r="A533" i="3"/>
  <c r="A532" i="3"/>
  <c r="A531" i="3"/>
  <c r="A530" i="3"/>
  <c r="A529" i="3"/>
  <c r="A528" i="3"/>
  <c r="A527" i="3"/>
  <c r="A526" i="3"/>
  <c r="A525" i="3"/>
  <c r="A524" i="3"/>
  <c r="A523" i="3"/>
  <c r="A522" i="3"/>
  <c r="A521" i="3"/>
  <c r="A520" i="3"/>
  <c r="A519" i="3"/>
  <c r="A518" i="3"/>
  <c r="A517" i="3"/>
  <c r="A516" i="3"/>
  <c r="A515" i="3"/>
  <c r="A513" i="3"/>
  <c r="A512" i="3"/>
  <c r="A511" i="3"/>
  <c r="A510" i="3"/>
  <c r="A509" i="3"/>
  <c r="A508" i="3"/>
  <c r="A507" i="3"/>
  <c r="A506" i="3"/>
  <c r="A505" i="3"/>
  <c r="A504" i="3"/>
  <c r="A503" i="3"/>
  <c r="A502" i="3"/>
  <c r="A501" i="3"/>
  <c r="A500" i="3"/>
  <c r="A499" i="3"/>
  <c r="A498" i="3"/>
  <c r="A497" i="3"/>
  <c r="A496"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1" i="3"/>
  <c r="A440" i="3"/>
  <c r="A439" i="3"/>
  <c r="A438" i="3"/>
  <c r="A437" i="3"/>
  <c r="A436" i="3"/>
  <c r="A435" i="3"/>
  <c r="A434" i="3"/>
  <c r="A433" i="3"/>
  <c r="A432" i="3"/>
  <c r="A431" i="3"/>
  <c r="A429" i="3"/>
  <c r="A428" i="3"/>
  <c r="A427" i="3"/>
  <c r="A426" i="3"/>
  <c r="A425" i="3"/>
  <c r="A424" i="3"/>
  <c r="A423" i="3"/>
  <c r="A422" i="3"/>
  <c r="A421" i="3"/>
  <c r="A420" i="3"/>
  <c r="A419" i="3"/>
  <c r="A418" i="3"/>
  <c r="A417" i="3"/>
  <c r="A416" i="3"/>
  <c r="A415" i="3"/>
  <c r="A414" i="3"/>
  <c r="A413" i="3"/>
  <c r="A412" i="3"/>
  <c r="A411" i="3"/>
  <c r="A409" i="3"/>
  <c r="A408" i="3"/>
  <c r="A407" i="3"/>
  <c r="A406" i="3"/>
  <c r="A405" i="3"/>
  <c r="A404" i="3"/>
  <c r="A403" i="3"/>
  <c r="A402" i="3"/>
  <c r="A401" i="3"/>
  <c r="A400" i="3"/>
  <c r="A399" i="3"/>
  <c r="A398" i="3"/>
  <c r="A394" i="3"/>
  <c r="A393" i="3"/>
  <c r="A392" i="3"/>
  <c r="A391" i="3"/>
  <c r="A390" i="3"/>
  <c r="A389" i="3"/>
  <c r="A388" i="3"/>
  <c r="A387" i="3"/>
  <c r="A386" i="3"/>
  <c r="A385" i="3"/>
  <c r="A384" i="3"/>
  <c r="A383" i="3"/>
  <c r="A382" i="3"/>
  <c r="A381" i="3"/>
  <c r="A380" i="3"/>
  <c r="A379" i="3"/>
  <c r="A378" i="3"/>
  <c r="A377" i="3"/>
  <c r="A376" i="3"/>
  <c r="A375" i="3"/>
  <c r="A374" i="3"/>
  <c r="A373" i="3"/>
  <c r="A371" i="3"/>
  <c r="A370" i="3"/>
  <c r="A369" i="3"/>
  <c r="A368" i="3"/>
  <c r="A367" i="3"/>
  <c r="A366" i="3"/>
  <c r="A365" i="3"/>
  <c r="A363" i="3"/>
  <c r="A362" i="3"/>
  <c r="A361" i="3"/>
  <c r="A360" i="3"/>
  <c r="A359" i="3"/>
  <c r="A358" i="3"/>
  <c r="A357" i="3"/>
  <c r="A356" i="3"/>
  <c r="A355" i="3"/>
  <c r="A354" i="3"/>
  <c r="A353" i="3"/>
  <c r="A352" i="3"/>
  <c r="A351" i="3"/>
  <c r="A350" i="3"/>
  <c r="A349" i="3"/>
  <c r="A348" i="3"/>
  <c r="A347" i="3"/>
  <c r="A346" i="3"/>
  <c r="A344" i="3"/>
  <c r="A343" i="3"/>
  <c r="A342" i="3"/>
  <c r="A325" i="3"/>
  <c r="A324" i="3"/>
  <c r="A323" i="3"/>
  <c r="A322" i="3"/>
  <c r="A321" i="3"/>
  <c r="A320" i="3"/>
  <c r="A319" i="3"/>
  <c r="A318" i="3"/>
  <c r="A317"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6" i="3"/>
  <c r="A285" i="3"/>
  <c r="A284" i="3"/>
  <c r="A283" i="3"/>
  <c r="A282"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8" i="3"/>
  <c r="A247" i="3"/>
  <c r="A246" i="3"/>
  <c r="A245" i="3"/>
  <c r="A244" i="3"/>
  <c r="A243" i="3"/>
  <c r="A242" i="3"/>
  <c r="A240" i="3"/>
  <c r="A239" i="3"/>
  <c r="A238" i="3"/>
  <c r="A237" i="3"/>
  <c r="A236" i="3"/>
  <c r="A235" i="3"/>
  <c r="A233" i="3"/>
  <c r="A232" i="3"/>
  <c r="A231" i="3"/>
  <c r="A230" i="3"/>
  <c r="A229" i="3"/>
  <c r="A228" i="3"/>
  <c r="A227" i="3"/>
  <c r="A226" i="3"/>
  <c r="A225" i="3"/>
  <c r="A224" i="3"/>
  <c r="A223" i="3"/>
  <c r="A222"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E31" i="22" l="1"/>
  <c r="AA31" i="22"/>
  <c r="W31" i="22"/>
  <c r="S31" i="22"/>
  <c r="O31" i="22"/>
  <c r="I27" i="22"/>
  <c r="I29" i="22" s="1"/>
  <c r="J20" i="22"/>
  <c r="J12" i="22"/>
  <c r="L9" i="22"/>
  <c r="H4" i="22"/>
  <c r="AE31" i="16"/>
  <c r="AA31" i="16"/>
  <c r="W31" i="16"/>
  <c r="S31" i="16"/>
  <c r="O31" i="16"/>
  <c r="I27" i="16"/>
  <c r="I29" i="16" s="1"/>
  <c r="J12" i="16"/>
  <c r="L9" i="16"/>
  <c r="H4" i="16"/>
  <c r="AF4" i="22" l="1"/>
  <c r="AI4" i="22"/>
  <c r="AJ4" i="22" s="1"/>
  <c r="AH4" i="22"/>
  <c r="I24" i="22"/>
  <c r="AI4" i="16"/>
  <c r="AJ4" i="16" s="1"/>
  <c r="AH4" i="16"/>
  <c r="AF4" i="16" s="1"/>
  <c r="J20" i="16"/>
  <c r="K22" i="16"/>
  <c r="I23" i="16" s="1"/>
  <c r="L24" i="16"/>
  <c r="I24" i="16"/>
  <c r="M27" i="16"/>
  <c r="K21" i="22"/>
  <c r="K24" i="22" s="1"/>
  <c r="V12" i="22"/>
  <c r="W10" i="22" s="1"/>
  <c r="Z10" i="22" s="1"/>
  <c r="N10" i="22"/>
  <c r="L24" i="22"/>
  <c r="V12" i="16"/>
  <c r="W10" i="16" s="1"/>
  <c r="Z10" i="16" s="1"/>
  <c r="N10" i="16"/>
  <c r="K21" i="16"/>
  <c r="K24" i="16" s="1"/>
  <c r="M24" i="16"/>
  <c r="K22" i="22"/>
  <c r="T5" i="22"/>
  <c r="J7" i="22"/>
  <c r="O7" i="22"/>
  <c r="T4" i="22"/>
  <c r="I7" i="22"/>
  <c r="N7" i="22"/>
  <c r="T7" i="22"/>
  <c r="S7" i="22"/>
  <c r="AG1" i="22"/>
  <c r="J4" i="22"/>
  <c r="J4" i="16"/>
  <c r="AG6" i="16"/>
  <c r="AG1" i="16"/>
  <c r="V4" i="22"/>
  <c r="N12" i="22"/>
  <c r="AG7" i="22"/>
  <c r="N17" i="22"/>
  <c r="H21" i="22"/>
  <c r="M27" i="22"/>
  <c r="AG6" i="22"/>
  <c r="G12" i="22"/>
  <c r="V4" i="16"/>
  <c r="T5" i="16"/>
  <c r="N12" i="16"/>
  <c r="Q27" i="16"/>
  <c r="T4" i="16"/>
  <c r="AG7" i="16"/>
  <c r="H21" i="16"/>
  <c r="G12" i="16"/>
  <c r="O22" i="16"/>
  <c r="O23" i="16" s="1"/>
  <c r="AD2" i="18"/>
  <c r="AC2" i="18"/>
  <c r="K23" i="22" l="1"/>
  <c r="I23" i="22"/>
  <c r="I22" i="16"/>
  <c r="AG4" i="22"/>
  <c r="J21" i="22"/>
  <c r="J24" i="22" s="1"/>
  <c r="Z12" i="22"/>
  <c r="AG4" i="16"/>
  <c r="K23" i="16"/>
  <c r="J21" i="16"/>
  <c r="J24" i="16" s="1"/>
  <c r="Z12" i="16"/>
  <c r="M29" i="16"/>
  <c r="O21" i="16"/>
  <c r="P24" i="16"/>
  <c r="N20" i="16"/>
  <c r="N9" i="22"/>
  <c r="AD9" i="22"/>
  <c r="G9" i="22"/>
  <c r="S9" i="22"/>
  <c r="AD9" i="16"/>
  <c r="G9" i="16"/>
  <c r="N17" i="16"/>
  <c r="S9" i="16"/>
  <c r="N9" i="16"/>
  <c r="I22" i="22"/>
  <c r="AD4" i="22"/>
  <c r="X4" i="22"/>
  <c r="R4" i="22" s="1"/>
  <c r="AB4" i="22"/>
  <c r="AD4" i="16"/>
  <c r="AE1" i="16"/>
  <c r="AB4" i="16"/>
  <c r="AC1" i="16"/>
  <c r="AA1" i="16"/>
  <c r="AE25" i="22"/>
  <c r="W25" i="22"/>
  <c r="O25" i="22"/>
  <c r="S5" i="22"/>
  <c r="Y25" i="22"/>
  <c r="Q25" i="22"/>
  <c r="I25" i="22"/>
  <c r="J13" i="22"/>
  <c r="AA25" i="22"/>
  <c r="S25" i="22"/>
  <c r="K25" i="22"/>
  <c r="AC25" i="22"/>
  <c r="U25" i="22"/>
  <c r="M25" i="22"/>
  <c r="V13" i="22"/>
  <c r="W14" i="22" s="1"/>
  <c r="W17" i="22"/>
  <c r="AB12" i="22"/>
  <c r="P12" i="22"/>
  <c r="S12" i="22" s="1"/>
  <c r="Q9" i="22"/>
  <c r="P24" i="22"/>
  <c r="M24" i="22"/>
  <c r="O22" i="22"/>
  <c r="N20" i="22"/>
  <c r="M29" i="22"/>
  <c r="O21" i="22"/>
  <c r="Q27" i="22"/>
  <c r="Y11" i="22"/>
  <c r="G11" i="22"/>
  <c r="M11" i="22"/>
  <c r="X1" i="22"/>
  <c r="S11" i="22"/>
  <c r="AD1" i="22"/>
  <c r="AB12" i="16"/>
  <c r="P12" i="16"/>
  <c r="S12" i="16" s="1"/>
  <c r="Q9" i="16"/>
  <c r="Y11" i="16"/>
  <c r="G11" i="16"/>
  <c r="M11" i="16"/>
  <c r="X1" i="16"/>
  <c r="S11" i="16"/>
  <c r="X4" i="16"/>
  <c r="W17" i="16"/>
  <c r="U27" i="16"/>
  <c r="T24" i="16"/>
  <c r="S21" i="16"/>
  <c r="Q24" i="16"/>
  <c r="S22" i="16"/>
  <c r="S23" i="16" s="1"/>
  <c r="R20" i="16"/>
  <c r="Q29" i="16"/>
  <c r="AE25" i="16"/>
  <c r="W25" i="16"/>
  <c r="O25" i="16"/>
  <c r="O26" i="16" s="1"/>
  <c r="Q26" i="16" s="1"/>
  <c r="Y25" i="16"/>
  <c r="Q25" i="16"/>
  <c r="I25" i="16"/>
  <c r="I26" i="16" s="1"/>
  <c r="J13" i="16"/>
  <c r="AA25" i="16"/>
  <c r="S25" i="16"/>
  <c r="K25" i="16"/>
  <c r="AC25" i="16"/>
  <c r="U25" i="16"/>
  <c r="M25" i="16"/>
  <c r="V13" i="16"/>
  <c r="W14" i="16" s="1"/>
  <c r="R6" i="16"/>
  <c r="H4" i="26"/>
  <c r="I25" i="26"/>
  <c r="K19" i="26" s="1"/>
  <c r="K22" i="26" s="1"/>
  <c r="AA7" i="18"/>
  <c r="N3" i="18"/>
  <c r="J12" i="26"/>
  <c r="V12" i="26" s="1"/>
  <c r="W10" i="26" s="1"/>
  <c r="Z10" i="26" s="1"/>
  <c r="M4" i="26"/>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13" i="18"/>
  <c r="O23" i="22" l="1"/>
  <c r="O26" i="22" s="1"/>
  <c r="Q26" i="22" s="1"/>
  <c r="R4" i="16"/>
  <c r="I26" i="22"/>
  <c r="AI4" i="26"/>
  <c r="AJ4" i="26" s="1"/>
  <c r="AH4" i="26"/>
  <c r="AF4" i="26" s="1"/>
  <c r="K26" i="16"/>
  <c r="M26" i="16" s="1"/>
  <c r="M28" i="16" s="1"/>
  <c r="AE3" i="18"/>
  <c r="AF3" i="18" s="1"/>
  <c r="AD3" i="18"/>
  <c r="AB3" i="18" s="1"/>
  <c r="O24" i="16"/>
  <c r="N21" i="16"/>
  <c r="N24" i="16" s="1"/>
  <c r="O3" i="18"/>
  <c r="AG1" i="26"/>
  <c r="AG6" i="26"/>
  <c r="AG7" i="26"/>
  <c r="Z4" i="22"/>
  <c r="K26" i="22"/>
  <c r="U27" i="22"/>
  <c r="T24" i="22"/>
  <c r="S21" i="22"/>
  <c r="Q24" i="22"/>
  <c r="S22" i="22"/>
  <c r="R20" i="22"/>
  <c r="Q29" i="22"/>
  <c r="P14" i="22"/>
  <c r="I14" i="22"/>
  <c r="AB14" i="22"/>
  <c r="U14" i="22"/>
  <c r="W15" i="22" s="1"/>
  <c r="N21" i="22"/>
  <c r="N24" i="22" s="1"/>
  <c r="O24" i="22"/>
  <c r="AB13" i="22"/>
  <c r="K14" i="22"/>
  <c r="P13" i="22"/>
  <c r="S26" i="16"/>
  <c r="U26" i="16" s="1"/>
  <c r="U29" i="16"/>
  <c r="X24" i="16"/>
  <c r="Y27" i="16"/>
  <c r="U24" i="16"/>
  <c r="W21" i="16"/>
  <c r="W22" i="16"/>
  <c r="W23" i="16" s="1"/>
  <c r="V20" i="16"/>
  <c r="S24" i="16"/>
  <c r="R21" i="16"/>
  <c r="R24" i="16" s="1"/>
  <c r="AB13" i="16"/>
  <c r="K14" i="16"/>
  <c r="P13" i="16"/>
  <c r="P14" i="16"/>
  <c r="I14" i="16"/>
  <c r="Z4" i="16"/>
  <c r="AB14" i="16"/>
  <c r="U14" i="16"/>
  <c r="Q3" i="18"/>
  <c r="R3" i="18" s="1"/>
  <c r="T4" i="26"/>
  <c r="M23" i="26" s="1"/>
  <c r="O23" i="26" s="1"/>
  <c r="K20" i="26"/>
  <c r="H19" i="26"/>
  <c r="I22" i="26"/>
  <c r="I27" i="26"/>
  <c r="M25" i="26"/>
  <c r="O20" i="26" s="1"/>
  <c r="J18" i="26"/>
  <c r="L22" i="26"/>
  <c r="J19" i="26"/>
  <c r="J22" i="26" s="1"/>
  <c r="V4" i="26"/>
  <c r="J4" i="26"/>
  <c r="Z12" i="26"/>
  <c r="N10" i="26"/>
  <c r="N12" i="26" s="1"/>
  <c r="T5" i="26"/>
  <c r="G12" i="26"/>
  <c r="S23" i="22" l="1"/>
  <c r="S26" i="22" s="1"/>
  <c r="Q28" i="22" s="1"/>
  <c r="I28" i="22"/>
  <c r="T3" i="18"/>
  <c r="U3" i="18"/>
  <c r="AG4" i="26"/>
  <c r="I28" i="16"/>
  <c r="Y3" i="18"/>
  <c r="X3" i="18"/>
  <c r="AC3" i="18"/>
  <c r="S3" i="18"/>
  <c r="K15" i="22"/>
  <c r="P3" i="18"/>
  <c r="M26" i="22"/>
  <c r="M28" i="22" s="1"/>
  <c r="AB4" i="26"/>
  <c r="AB1" i="26"/>
  <c r="AD4" i="26"/>
  <c r="AE1" i="26"/>
  <c r="X4" i="26"/>
  <c r="Y14" i="22"/>
  <c r="U29" i="22"/>
  <c r="X24" i="22"/>
  <c r="Y27" i="22"/>
  <c r="U24" i="22"/>
  <c r="W21" i="22"/>
  <c r="W22" i="22"/>
  <c r="V20" i="22"/>
  <c r="M14" i="22"/>
  <c r="S24" i="22"/>
  <c r="R21" i="22"/>
  <c r="R24" i="22" s="1"/>
  <c r="V21" i="16"/>
  <c r="V24" i="16" s="1"/>
  <c r="W24" i="16"/>
  <c r="W26" i="16"/>
  <c r="Y26" i="16" s="1"/>
  <c r="Q28" i="16"/>
  <c r="K15" i="16"/>
  <c r="M14" i="16"/>
  <c r="AB24" i="16"/>
  <c r="AA22" i="16"/>
  <c r="AA23" i="16" s="1"/>
  <c r="AA21" i="16"/>
  <c r="Z20" i="16"/>
  <c r="Y29" i="16"/>
  <c r="Y24" i="16"/>
  <c r="AC27" i="16"/>
  <c r="Y14" i="16"/>
  <c r="W15" i="16"/>
  <c r="Y23" i="26"/>
  <c r="AA23" i="26" s="1"/>
  <c r="Q23" i="26"/>
  <c r="S23" i="26" s="1"/>
  <c r="J13" i="26"/>
  <c r="AC23" i="26"/>
  <c r="AE23" i="26" s="1"/>
  <c r="U23" i="26"/>
  <c r="W23" i="26" s="1"/>
  <c r="I23" i="26"/>
  <c r="K23" i="26" s="1"/>
  <c r="M24" i="26"/>
  <c r="M22" i="26"/>
  <c r="Q25" i="26"/>
  <c r="R18" i="26" s="1"/>
  <c r="M27" i="26"/>
  <c r="N18" i="26"/>
  <c r="P22" i="26"/>
  <c r="O19" i="26"/>
  <c r="R14" i="26"/>
  <c r="AB13" i="26"/>
  <c r="AD14" i="26" s="1"/>
  <c r="P13" i="26"/>
  <c r="R12" i="26"/>
  <c r="S12" i="26" s="1"/>
  <c r="AB12" i="26"/>
  <c r="S11" i="26"/>
  <c r="Y11" i="26"/>
  <c r="G11" i="26"/>
  <c r="M11" i="26"/>
  <c r="U26" i="22" l="1"/>
  <c r="W23" i="22"/>
  <c r="R4" i="26"/>
  <c r="W3" i="18"/>
  <c r="Z3" i="18" s="1"/>
  <c r="U25" i="26"/>
  <c r="W20" i="26" s="1"/>
  <c r="S19" i="26"/>
  <c r="R19" i="26" s="1"/>
  <c r="R22" i="26" s="1"/>
  <c r="Z4" i="26"/>
  <c r="I24" i="26"/>
  <c r="Q24" i="26"/>
  <c r="O24" i="26" s="1"/>
  <c r="S20" i="26"/>
  <c r="R14" i="22"/>
  <c r="P15" i="22"/>
  <c r="V21" i="22"/>
  <c r="V24" i="22" s="1"/>
  <c r="W24" i="22"/>
  <c r="T16" i="22"/>
  <c r="AD14" i="22"/>
  <c r="AB15" i="22" s="1"/>
  <c r="AB24" i="22"/>
  <c r="AA22" i="22"/>
  <c r="AA23" i="22" s="1"/>
  <c r="AA21" i="22"/>
  <c r="Z20" i="22"/>
  <c r="Y29" i="22"/>
  <c r="Y24" i="22"/>
  <c r="AC27" i="22"/>
  <c r="AA24" i="16"/>
  <c r="Z21" i="16"/>
  <c r="Z24" i="16" s="1"/>
  <c r="U28" i="16"/>
  <c r="AE26" i="16"/>
  <c r="AE22" i="16"/>
  <c r="AF24" i="16"/>
  <c r="AC24" i="16"/>
  <c r="AD20" i="16"/>
  <c r="AC29" i="16"/>
  <c r="AE21" i="16"/>
  <c r="R14" i="16"/>
  <c r="P15" i="16"/>
  <c r="T16" i="16"/>
  <c r="AD14" i="16"/>
  <c r="AB15" i="16" s="1"/>
  <c r="Q22" i="26"/>
  <c r="T22" i="26"/>
  <c r="Q27" i="26"/>
  <c r="O22" i="26"/>
  <c r="N19" i="26"/>
  <c r="N22" i="26" s="1"/>
  <c r="Y25" i="26"/>
  <c r="AA20" i="26" s="1"/>
  <c r="V13" i="26"/>
  <c r="J14" i="26"/>
  <c r="P14" i="26"/>
  <c r="P15" i="26" s="1"/>
  <c r="AB14" i="26"/>
  <c r="AB15" i="26" s="1"/>
  <c r="U14" i="26"/>
  <c r="V3" i="18"/>
  <c r="W26" i="22" l="1"/>
  <c r="U28" i="22" s="1"/>
  <c r="U22" i="26"/>
  <c r="W19" i="26"/>
  <c r="W22" i="26" s="1"/>
  <c r="S22" i="26"/>
  <c r="X22" i="26"/>
  <c r="U27" i="26"/>
  <c r="V18" i="26"/>
  <c r="Y24" i="26"/>
  <c r="W24" i="26" s="1"/>
  <c r="U24" i="26"/>
  <c r="S24" i="26" s="1"/>
  <c r="Q26" i="26" s="1"/>
  <c r="AE26" i="22"/>
  <c r="AE22" i="22"/>
  <c r="AA26" i="22"/>
  <c r="AA24" i="22"/>
  <c r="Z21" i="22"/>
  <c r="Z24" i="22" s="1"/>
  <c r="AF24" i="22"/>
  <c r="AC24" i="22"/>
  <c r="AD20" i="22"/>
  <c r="AC29" i="22"/>
  <c r="AE21" i="22"/>
  <c r="V16" i="22"/>
  <c r="R16" i="22"/>
  <c r="AA26" i="16"/>
  <c r="Y28" i="16" s="1"/>
  <c r="AD21" i="16"/>
  <c r="AD24" i="16" s="1"/>
  <c r="AE24" i="16"/>
  <c r="V16" i="16"/>
  <c r="R16" i="16"/>
  <c r="M26" i="26"/>
  <c r="K24" i="26"/>
  <c r="I26" i="26" s="1"/>
  <c r="AA19" i="26"/>
  <c r="AA22" i="26" s="1"/>
  <c r="AC25" i="26"/>
  <c r="AD18" i="26" s="1"/>
  <c r="Y27" i="26"/>
  <c r="Z18" i="26"/>
  <c r="Y22" i="26"/>
  <c r="AB22" i="26"/>
  <c r="U15" i="26"/>
  <c r="X15" i="26" s="1"/>
  <c r="L14" i="26"/>
  <c r="J15" i="26" s="1"/>
  <c r="Y26" i="22" l="1"/>
  <c r="Y28" i="22" s="1"/>
  <c r="V19" i="26"/>
  <c r="V22" i="26" s="1"/>
  <c r="AD21" i="22"/>
  <c r="AD24" i="22" s="1"/>
  <c r="AE24" i="22"/>
  <c r="AC26" i="16"/>
  <c r="AC28" i="16" s="1"/>
  <c r="Z19" i="26"/>
  <c r="Z22" i="26" s="1"/>
  <c r="AC27" i="26"/>
  <c r="AE24" i="26" s="1"/>
  <c r="AF22" i="26"/>
  <c r="AE19" i="26"/>
  <c r="AC22" i="26"/>
  <c r="U26" i="26"/>
  <c r="W14" i="26"/>
  <c r="AC24" i="26" l="1"/>
  <c r="AA24" i="26" s="1"/>
  <c r="Y26" i="26" s="1"/>
  <c r="AC26" i="22"/>
  <c r="AC28" i="22" s="1"/>
  <c r="AD19" i="26"/>
  <c r="AD22" i="26" s="1"/>
  <c r="AE22" i="26"/>
  <c r="AC26"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T3" authorId="0" shapeId="0" xr:uid="{00000000-0006-0000-04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81"/>
            <rFont val="微軟正黑體"/>
            <family val="2"/>
            <charset val="136"/>
          </rPr>
          <t>到職日至12/31日的比例</t>
        </r>
      </text>
    </comment>
    <comment ref="AG3" authorId="0" shapeId="0" xr:uid="{00000000-0006-0000-0400-000002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如到職日在7/1以後
1/1前=0</t>
        </r>
      </text>
    </comment>
    <comment ref="X4" authorId="0" shapeId="0" xr:uid="{00000000-0006-0000-0400-000003000000}">
      <text>
        <r>
          <rPr>
            <b/>
            <sz val="12"/>
            <color indexed="81"/>
            <rFont val="微軟正黑體"/>
            <family val="2"/>
            <charset val="136"/>
          </rPr>
          <t>李金國0932342621:
以四捨五入 
到小數第二位</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AG3" authorId="0" shapeId="0" xr:uid="{00000000-0006-0000-05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如到職日在7/1以後
1/1前=0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T3" authorId="0" shapeId="0" xr:uid="{00000000-0006-0000-06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81"/>
            <rFont val="微軟正黑體"/>
            <family val="2"/>
            <charset val="136"/>
          </rPr>
          <t>到職日至12/31日的比例</t>
        </r>
      </text>
    </comment>
    <comment ref="AG3" authorId="0" shapeId="0" xr:uid="{00000000-0006-0000-0600-000002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如到職日在7/1以後
1/1前=0</t>
        </r>
      </text>
    </comment>
    <comment ref="X4" authorId="0" shapeId="0" xr:uid="{00000000-0006-0000-0600-000003000000}">
      <text>
        <r>
          <rPr>
            <b/>
            <sz val="12"/>
            <color indexed="81"/>
            <rFont val="微軟正黑體"/>
            <family val="2"/>
            <charset val="136"/>
          </rPr>
          <t>李金國0932342621:
以四捨五入 
到小數第二位</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AC2" authorId="0" shapeId="0" xr:uid="{00000000-0006-0000-08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如到職日在7/1以後
1/1前=0</t>
        </r>
      </text>
    </comment>
    <comment ref="X7" authorId="0" shapeId="0" xr:uid="{00000000-0006-0000-0800-000002000000}">
      <text>
        <r>
          <rPr>
            <b/>
            <sz val="12"/>
            <color indexed="81"/>
            <rFont val="新細明體"/>
            <family val="1"/>
            <charset val="136"/>
          </rPr>
          <t>李金國0932342621:
(結束日期是復職前一日)</t>
        </r>
      </text>
    </comment>
    <comment ref="N10" authorId="0" shapeId="0" xr:uid="{00000000-0006-0000-0800-000003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 xml:space="preserve">考慮
留職停薪期間不計年資
</t>
        </r>
      </text>
    </comment>
    <comment ref="V10" authorId="0" shapeId="0" xr:uid="{00000000-0006-0000-0800-000004000000}">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10"/>
            <rFont val="微軟正黑體"/>
            <family val="2"/>
            <charset val="136"/>
          </rPr>
          <t>包含遞延 或 已結清天數 D</t>
        </r>
      </text>
    </comment>
    <comment ref="X10" authorId="0" shapeId="0" xr:uid="{00000000-0006-0000-0800-000005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四捨五入到小數第二位</t>
        </r>
      </text>
    </comment>
    <comment ref="Y10" authorId="0" shapeId="0" xr:uid="{00000000-0006-0000-0800-000006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四捨五入到小數第二位</t>
        </r>
      </text>
    </comment>
    <comment ref="Z10" authorId="0" shapeId="0" xr:uid="{00000000-0006-0000-0800-000007000000}">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10"/>
            <rFont val="微軟正黑體"/>
            <family val="2"/>
            <charset val="136"/>
          </rPr>
          <t>包含遞延 或 已結清天數 D</t>
        </r>
      </text>
    </comment>
    <comment ref="AA10" authorId="0" shapeId="0" xr:uid="{00000000-0006-0000-0800-000008000000}">
      <text>
        <r>
          <rPr>
            <b/>
            <sz val="9"/>
            <color indexed="81"/>
            <rFont val="細明體"/>
            <family val="3"/>
            <charset val="136"/>
          </rPr>
          <t>李金國</t>
        </r>
        <r>
          <rPr>
            <b/>
            <sz val="9"/>
            <color indexed="81"/>
            <rFont val="Tahoma"/>
            <family val="2"/>
          </rPr>
          <t xml:space="preserve">0932342621
</t>
        </r>
        <r>
          <rPr>
            <b/>
            <sz val="12"/>
            <color indexed="10"/>
            <rFont val="微軟正黑體"/>
            <family val="2"/>
            <charset val="136"/>
          </rPr>
          <t>結清：今年度已結清天數輸入負值
            (或上一年度已超休)
遞延：上一年度遞延天數輸入正值</t>
        </r>
        <r>
          <rPr>
            <b/>
            <sz val="9"/>
            <color indexed="81"/>
            <rFont val="細明體"/>
            <family val="3"/>
            <charset val="136"/>
          </rPr>
          <t xml:space="preserve">
</t>
        </r>
      </text>
    </comment>
    <comment ref="AE10" authorId="0" shapeId="0" xr:uid="{00000000-0006-0000-0800-000009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12"/>
            <color indexed="81"/>
            <rFont val="細明體"/>
            <family val="3"/>
            <charset val="136"/>
          </rPr>
          <t>到職日至12/31 
滿半年的特休</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K5" authorId="0" shapeId="0" xr:uid="{00000000-0006-0000-09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 xml:space="preserve">考慮
留職停薪期間不計年資
</t>
        </r>
      </text>
    </comment>
    <comment ref="S5" authorId="0" shapeId="0" xr:uid="{00000000-0006-0000-0900-000002000000}">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10"/>
            <rFont val="微軟正黑體"/>
            <family val="2"/>
            <charset val="136"/>
          </rPr>
          <t>包含遞延 或 已結清天數 D</t>
        </r>
      </text>
    </comment>
    <comment ref="U5" authorId="0" shapeId="0" xr:uid="{00000000-0006-0000-0900-000003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四捨五入到小數第二位</t>
        </r>
      </text>
    </comment>
    <comment ref="V5" authorId="0" shapeId="0" xr:uid="{00000000-0006-0000-0900-000004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四捨五入到小數第二位</t>
        </r>
      </text>
    </comment>
    <comment ref="W5" authorId="0" shapeId="0" xr:uid="{00000000-0006-0000-0900-000005000000}">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10"/>
            <rFont val="微軟正黑體"/>
            <family val="2"/>
            <charset val="136"/>
          </rPr>
          <t>包含遞延 或 已結清天數 D</t>
        </r>
      </text>
    </comment>
    <comment ref="X5" authorId="0" shapeId="0" xr:uid="{00000000-0006-0000-0900-000006000000}">
      <text>
        <r>
          <rPr>
            <b/>
            <sz val="9"/>
            <color indexed="81"/>
            <rFont val="細明體"/>
            <family val="3"/>
            <charset val="136"/>
          </rPr>
          <t>李金國</t>
        </r>
        <r>
          <rPr>
            <b/>
            <sz val="9"/>
            <color indexed="81"/>
            <rFont val="Tahoma"/>
            <family val="2"/>
          </rPr>
          <t xml:space="preserve">0932342621
</t>
        </r>
        <r>
          <rPr>
            <b/>
            <sz val="12"/>
            <color indexed="10"/>
            <rFont val="微軟正黑體"/>
            <family val="2"/>
            <charset val="136"/>
          </rPr>
          <t>結清：今年度已結清天數輸入負值
            (或上一年度已超休)
遞延：上一年度遞延天數輸入正值</t>
        </r>
        <r>
          <rPr>
            <b/>
            <sz val="9"/>
            <color indexed="81"/>
            <rFont val="細明體"/>
            <family val="3"/>
            <charset val="136"/>
          </rPr>
          <t xml:space="preserve">
</t>
        </r>
      </text>
    </comment>
    <comment ref="AB5" authorId="0" shapeId="0" xr:uid="{00000000-0006-0000-0900-000007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12"/>
            <color indexed="81"/>
            <rFont val="細明體"/>
            <family val="3"/>
            <charset val="136"/>
          </rPr>
          <t>到職日至12/31 
滿半年的特休</t>
        </r>
      </text>
    </comment>
  </commentList>
</comments>
</file>

<file path=xl/sharedStrings.xml><?xml version="1.0" encoding="utf-8"?>
<sst xmlns="http://schemas.openxmlformats.org/spreadsheetml/2006/main" count="2089" uniqueCount="1379">
  <si>
    <t>年資</t>
  </si>
  <si>
    <t>年資特休</t>
  </si>
  <si>
    <t>月</t>
    <phoneticPr fontId="1" type="noConversion"/>
  </si>
  <si>
    <t>日</t>
    <phoneticPr fontId="1" type="noConversion"/>
  </si>
  <si>
    <t>留職停薪</t>
    <phoneticPr fontId="1" type="noConversion"/>
  </si>
  <si>
    <t>年</t>
    <phoneticPr fontId="6" type="noConversion"/>
  </si>
  <si>
    <t>到職日前</t>
    <phoneticPr fontId="1" type="noConversion"/>
  </si>
  <si>
    <t>特休最大年資</t>
    <phoneticPr fontId="6" type="noConversion"/>
  </si>
  <si>
    <t>比例</t>
    <phoneticPr fontId="1" type="noConversion"/>
  </si>
  <si>
    <t>特休</t>
    <phoneticPr fontId="1" type="noConversion"/>
  </si>
  <si>
    <t>第 1 條</t>
  </si>
  <si>
    <t>第 2 條</t>
  </si>
  <si>
    <t>第 3 條</t>
  </si>
  <si>
    <t>第 4 條</t>
  </si>
  <si>
    <t>第 5 條</t>
  </si>
  <si>
    <t>第 6 條</t>
  </si>
  <si>
    <t>第 7 條</t>
  </si>
  <si>
    <t>第 8 條</t>
  </si>
  <si>
    <t>第 9 條</t>
  </si>
  <si>
    <t>第 10 條</t>
  </si>
  <si>
    <t>第 11 條</t>
  </si>
  <si>
    <t>第 12 條</t>
  </si>
  <si>
    <t>第 13 條</t>
  </si>
  <si>
    <t>第 14 條</t>
  </si>
  <si>
    <t>第 15 條</t>
  </si>
  <si>
    <t>。</t>
  </si>
  <si>
    <t>第 16 條</t>
  </si>
  <si>
    <t>第 17 條</t>
  </si>
  <si>
    <t>第 18 條</t>
  </si>
  <si>
    <t>第 19 條</t>
  </si>
  <si>
    <t>第 20 條</t>
  </si>
  <si>
    <t>第 21 條</t>
  </si>
  <si>
    <t>第 22 條</t>
  </si>
  <si>
    <t>第 23 條</t>
  </si>
  <si>
    <t>第 24 條</t>
  </si>
  <si>
    <t>第 25 條</t>
  </si>
  <si>
    <t>第 26 條</t>
  </si>
  <si>
    <t>第 27 條</t>
  </si>
  <si>
    <t>第 28 條</t>
  </si>
  <si>
    <t>第 29 條</t>
  </si>
  <si>
    <t>第 30 條</t>
  </si>
  <si>
    <t>第 31 條</t>
  </si>
  <si>
    <t>第 32 條</t>
  </si>
  <si>
    <t>第 33 條</t>
  </si>
  <si>
    <t>第 34 條</t>
  </si>
  <si>
    <t>第 35 條</t>
  </si>
  <si>
    <t>第 36 條</t>
  </si>
  <si>
    <t>第 37 條</t>
  </si>
  <si>
    <t>第 38 條</t>
  </si>
  <si>
    <t>第 39 條</t>
  </si>
  <si>
    <t>第 40 條</t>
  </si>
  <si>
    <t>第 41 條</t>
  </si>
  <si>
    <t>第 42 條</t>
  </si>
  <si>
    <t>第 43 條</t>
  </si>
  <si>
    <t>第 44 條</t>
  </si>
  <si>
    <t>第 45 條</t>
  </si>
  <si>
    <t>第 46 條</t>
  </si>
  <si>
    <t>第 47 條</t>
  </si>
  <si>
    <t>第 48 條</t>
  </si>
  <si>
    <t>第 49 條</t>
  </si>
  <si>
    <t>第 50 條</t>
  </si>
  <si>
    <t>第 51 條</t>
  </si>
  <si>
    <t>由中央主管機關定之。</t>
  </si>
  <si>
    <t>滿一年</t>
    <phoneticPr fontId="6" type="noConversion"/>
  </si>
  <si>
    <t>天</t>
  </si>
  <si>
    <t>到職周年</t>
    <phoneticPr fontId="1" type="noConversion"/>
  </si>
  <si>
    <t>試算日期</t>
  </si>
  <si>
    <t>日數</t>
    <phoneticPr fontId="1" type="noConversion"/>
  </si>
  <si>
    <t>特休</t>
  </si>
  <si>
    <t>到職</t>
    <phoneticPr fontId="1" type="noConversion"/>
  </si>
  <si>
    <t>年</t>
    <phoneticPr fontId="1" type="noConversion"/>
  </si>
  <si>
    <t>年度末</t>
    <phoneticPr fontId="1" type="noConversion"/>
  </si>
  <si>
    <t>年度初</t>
    <phoneticPr fontId="1" type="noConversion"/>
  </si>
  <si>
    <t>員工編號</t>
  </si>
  <si>
    <t>姓名</t>
  </si>
  <si>
    <t>部門</t>
  </si>
  <si>
    <t>職稱</t>
  </si>
  <si>
    <t>年度天數</t>
    <phoneticPr fontId="1" type="noConversion"/>
  </si>
  <si>
    <t>性別</t>
  </si>
  <si>
    <t>留職停薪</t>
    <phoneticPr fontId="1" type="noConversion"/>
  </si>
  <si>
    <t>公司</t>
    <phoneticPr fontId="1" type="noConversion"/>
  </si>
  <si>
    <t>曆年制試算_原始比例</t>
    <phoneticPr fontId="1" type="noConversion"/>
  </si>
  <si>
    <t>周年制</t>
    <phoneticPr fontId="1" type="noConversion"/>
  </si>
  <si>
    <t>按比例</t>
    <phoneticPr fontId="1" type="noConversion"/>
  </si>
  <si>
    <t>+</t>
    <phoneticPr fontId="1" type="noConversion"/>
  </si>
  <si>
    <t>=</t>
    <phoneticPr fontId="1" type="noConversion"/>
  </si>
  <si>
    <t>未來勞檢重點 換算後有無給足假</t>
    <phoneticPr fontId="1" type="noConversion"/>
  </si>
  <si>
    <t>勞動條件及就業平等司司長謝倩蒨表示，勞基法規定都是以任職滿多久就有多少天特休</t>
    <phoneticPr fontId="1" type="noConversion"/>
  </si>
  <si>
    <t>勞檢如何看待？</t>
    <phoneticPr fontId="1" type="noConversion"/>
  </si>
  <si>
    <t>離職時如何決算？</t>
    <phoneticPr fontId="1" type="noConversion"/>
  </si>
  <si>
    <t>例如， 7/1到職，滿2年 前後離職，如 6/30離職與7/2離職，特休結算工資天數一樣嗎?</t>
    <phoneticPr fontId="1" type="noConversion"/>
  </si>
  <si>
    <t>有零頭特休天數如何休?? 會不會變成沒休完或結清特休工資不足呢??</t>
    <phoneticPr fontId="1" type="noConversion"/>
  </si>
  <si>
    <t>到職日</t>
    <phoneticPr fontId="6" type="noConversion"/>
  </si>
  <si>
    <t>年資計算日期</t>
    <phoneticPr fontId="6" type="noConversion"/>
  </si>
  <si>
    <t>年度開始可以把大部分特休休完嗎??</t>
    <phoneticPr fontId="1" type="noConversion"/>
  </si>
  <si>
    <t>現今，沒休完要決算工資，如有零頭時數沒休完，也没給工資如何處理？</t>
    <phoneticPr fontId="1" type="noConversion"/>
  </si>
  <si>
    <r>
      <t>依勞基法第38條</t>
    </r>
    <r>
      <rPr>
        <b/>
        <sz val="28"/>
        <color rgb="FFFF0000"/>
        <rFont val="微軟正黑體"/>
        <family val="2"/>
        <charset val="136"/>
      </rPr>
      <t>給予</t>
    </r>
    <r>
      <rPr>
        <b/>
        <sz val="20"/>
        <color theme="0"/>
        <rFont val="微軟正黑體"/>
        <family val="2"/>
        <charset val="136"/>
      </rPr>
      <t>特別休假  曆年制方式</t>
    </r>
    <r>
      <rPr>
        <b/>
        <sz val="28"/>
        <color rgb="FFFF0000"/>
        <rFont val="微軟正黑體"/>
        <family val="2"/>
        <charset val="136"/>
      </rPr>
      <t>行使</t>
    </r>
    <r>
      <rPr>
        <b/>
        <sz val="20"/>
        <color theme="0"/>
        <rFont val="微軟正黑體"/>
        <family val="2"/>
        <charset val="136"/>
      </rPr>
      <t>特別休假&lt;&lt;施行細則第24條</t>
    </r>
    <phoneticPr fontId="1" type="noConversion"/>
  </si>
  <si>
    <t>到職日
(留職)</t>
    <phoneticPr fontId="6" type="noConversion"/>
  </si>
  <si>
    <t>輸入</t>
    <phoneticPr fontId="1" type="noConversion"/>
  </si>
  <si>
    <t>法定</t>
    <phoneticPr fontId="1" type="noConversion"/>
  </si>
  <si>
    <t>實際</t>
    <phoneticPr fontId="1" type="noConversion"/>
  </si>
  <si>
    <t>增加</t>
    <phoneticPr fontId="1" type="noConversion"/>
  </si>
  <si>
    <t>的天數於 [增加] 欄位</t>
    <phoneticPr fontId="1" type="noConversion"/>
  </si>
  <si>
    <t>本試算程式版權屬於李金國顧問所有，歡迎轉載使用，但轉載時請註明出處</t>
    <phoneticPr fontId="1" type="noConversion"/>
  </si>
  <si>
    <t>特休比例</t>
    <phoneticPr fontId="6" type="noConversion"/>
  </si>
  <si>
    <t>到職日後</t>
    <phoneticPr fontId="1" type="noConversion"/>
  </si>
  <si>
    <t>行使特別休假權利：</t>
    <phoneticPr fontId="1" type="noConversion"/>
  </si>
  <si>
    <t>（例如：1月1日到職勞工，申請留職停薪1年6個月，其週年制特休規範之受僱當日會變動為7月1日，一週年為當年7月1日至翌年6月30日）。</t>
  </si>
  <si>
    <t>以勞工受僱當日起算，每一週年之期間」，所謂「年度終結」，可由雙方協商「受僱當日起算之每一週年」為何</t>
    <phoneticPr fontId="1" type="noConversion"/>
  </si>
  <si>
    <t>一、</t>
  </si>
  <si>
    <t>勞工申請留職停薪時，計算特休的「受僱當日」已然變動，其行使期間的「每一週年」自得有所不同</t>
    <phoneticPr fontId="1" type="noConversion"/>
  </si>
  <si>
    <t>X</t>
    <phoneticPr fontId="1" type="noConversion"/>
  </si>
  <si>
    <t>特休</t>
    <phoneticPr fontId="1" type="noConversion"/>
  </si>
  <si>
    <t>－</t>
    <phoneticPr fontId="1" type="noConversion"/>
  </si>
  <si>
    <t>比例</t>
    <phoneticPr fontId="1" type="noConversion"/>
  </si>
  <si>
    <t>滿半年</t>
    <phoneticPr fontId="1" type="noConversion"/>
  </si>
  <si>
    <t>1/1~到職日前一日</t>
    <phoneticPr fontId="1" type="noConversion"/>
  </si>
  <si>
    <t>小數捨去取第二位</t>
    <phoneticPr fontId="1" type="noConversion"/>
  </si>
  <si>
    <t>小數捨去取第二位</t>
    <phoneticPr fontId="1" type="noConversion"/>
  </si>
  <si>
    <t>網址:</t>
    <phoneticPr fontId="1" type="noConversion"/>
  </si>
  <si>
    <t>https://www.gisin.com.tw/</t>
    <phoneticPr fontId="1" type="noConversion"/>
  </si>
  <si>
    <t>https://www.gisin.com.tw/</t>
    <phoneticPr fontId="1" type="noConversion"/>
  </si>
  <si>
    <r>
      <rPr>
        <b/>
        <sz val="14"/>
        <color rgb="FFFF0000"/>
        <rFont val="標楷體"/>
        <family val="4"/>
        <charset val="136"/>
      </rPr>
      <t>◎</t>
    </r>
    <r>
      <rPr>
        <b/>
        <sz val="14"/>
        <color rgb="FFFF0000"/>
        <rFont val="微軟正黑體"/>
        <family val="2"/>
        <charset val="136"/>
      </rPr>
      <t>上述試算程式未計算滿半年3天的部分</t>
    </r>
    <phoneticPr fontId="1" type="noConversion"/>
  </si>
  <si>
    <t>日期</t>
    <phoneticPr fontId="1" type="noConversion"/>
  </si>
  <si>
    <t>曆年制天數</t>
    <phoneticPr fontId="1" type="noConversion"/>
  </si>
  <si>
    <t>曆年制年度</t>
    <phoneticPr fontId="1" type="noConversion"/>
  </si>
  <si>
    <t>周年制天數</t>
    <phoneticPr fontId="1" type="noConversion"/>
  </si>
  <si>
    <t>周年制年度</t>
    <phoneticPr fontId="1" type="noConversion"/>
  </si>
  <si>
    <t>=</t>
    <phoneticPr fontId="1" type="noConversion"/>
  </si>
  <si>
    <r>
      <t>曆年制</t>
    </r>
    <r>
      <rPr>
        <b/>
        <sz val="12"/>
        <color rgb="FFFF0000"/>
        <rFont val="微軟正黑體"/>
        <family val="2"/>
        <charset val="136"/>
      </rPr>
      <t>比例天數</t>
    </r>
    <phoneticPr fontId="1" type="noConversion"/>
  </si>
  <si>
    <t>比例</t>
    <phoneticPr fontId="1" type="noConversion"/>
  </si>
  <si>
    <t>到職日後</t>
  </si>
  <si>
    <t>到職日前</t>
    <phoneticPr fontId="1" type="noConversion"/>
  </si>
  <si>
    <t>到職日後</t>
    <phoneticPr fontId="1" type="noConversion"/>
  </si>
  <si>
    <t xml:space="preserve">1/1至
到職日
前一日
</t>
    <phoneticPr fontId="1" type="noConversion"/>
  </si>
  <si>
    <t>&lt;&lt;輸入試算年度</t>
    <phoneticPr fontId="1" type="noConversion"/>
  </si>
  <si>
    <t>到職周年</t>
    <phoneticPr fontId="6" type="noConversion"/>
  </si>
  <si>
    <t>如優於勞基法,輸入優於法規</t>
    <phoneticPr fontId="1" type="noConversion"/>
  </si>
  <si>
    <t>輸入後再按試算鈕</t>
    <phoneticPr fontId="1" type="noConversion"/>
  </si>
  <si>
    <t>到職日
至
12/31</t>
    <phoneticPr fontId="1" type="noConversion"/>
  </si>
  <si>
    <t>滿半年(未滿一年期間)</t>
    <phoneticPr fontId="6" type="noConversion"/>
  </si>
  <si>
    <t>日數</t>
    <phoneticPr fontId="1" type="noConversion"/>
  </si>
  <si>
    <t xml:space="preserve">年度 1/1前 </t>
  </si>
  <si>
    <t>滿半年
A</t>
    <phoneticPr fontId="1" type="noConversion"/>
  </si>
  <si>
    <t>到職日前
B</t>
    <phoneticPr fontId="1" type="noConversion"/>
  </si>
  <si>
    <t>到職日後
C</t>
    <phoneticPr fontId="1" type="noConversion"/>
  </si>
  <si>
    <r>
      <t xml:space="preserve">年度天數
</t>
    </r>
    <r>
      <rPr>
        <b/>
        <sz val="10"/>
        <color theme="1"/>
        <rFont val="微軟正黑體"/>
        <family val="2"/>
        <charset val="136"/>
      </rPr>
      <t>A+B+C+D</t>
    </r>
    <phoneticPr fontId="1" type="noConversion"/>
  </si>
  <si>
    <t>滿半年
A</t>
    <phoneticPr fontId="1" type="noConversion"/>
  </si>
  <si>
    <r>
      <t xml:space="preserve">年度天數
</t>
    </r>
    <r>
      <rPr>
        <sz val="10"/>
        <color theme="1"/>
        <rFont val="微軟正黑體"/>
        <family val="2"/>
        <charset val="136"/>
      </rPr>
      <t>A+B+C+D</t>
    </r>
    <phoneticPr fontId="1" type="noConversion"/>
  </si>
  <si>
    <t>遞延 或
已結清
D</t>
    <phoneticPr fontId="1" type="noConversion"/>
  </si>
  <si>
    <t>留停日數試算</t>
    <phoneticPr fontId="1" type="noConversion"/>
  </si>
  <si>
    <t>開始日期</t>
    <phoneticPr fontId="1" type="noConversion"/>
  </si>
  <si>
    <t>結束日期</t>
    <phoneticPr fontId="1" type="noConversion"/>
  </si>
  <si>
    <t>留停天數</t>
    <phoneticPr fontId="1" type="noConversion"/>
  </si>
  <si>
    <t>&lt;&lt;輸入日期試算留停天數</t>
    <phoneticPr fontId="1" type="noConversion"/>
  </si>
  <si>
    <t>輸入到職日&lt;年 月 日</t>
  </si>
  <si>
    <t>輸入特休給假年度</t>
  </si>
  <si>
    <t>到職</t>
    <phoneticPr fontId="1" type="noConversion"/>
  </si>
  <si>
    <t>按比例試算(四捨五入至小數第二位)</t>
    <phoneticPr fontId="1" type="noConversion"/>
  </si>
  <si>
    <t>A+B+C</t>
    <phoneticPr fontId="6" type="noConversion"/>
  </si>
  <si>
    <t>日數</t>
    <phoneticPr fontId="1" type="noConversion"/>
  </si>
  <si>
    <t>留職停薪天數</t>
    <phoneticPr fontId="6" type="noConversion"/>
  </si>
  <si>
    <t>到職日</t>
    <phoneticPr fontId="6" type="noConversion"/>
  </si>
  <si>
    <t>年資_年</t>
    <phoneticPr fontId="6" type="noConversion"/>
  </si>
  <si>
    <t>年資計算日期</t>
    <phoneticPr fontId="6" type="noConversion"/>
  </si>
  <si>
    <t>得特休_X+C</t>
    <phoneticPr fontId="6" type="noConversion"/>
  </si>
  <si>
    <t>特休比例</t>
    <phoneticPr fontId="6" type="noConversion"/>
  </si>
  <si>
    <t>到職周年</t>
    <phoneticPr fontId="6" type="noConversion"/>
  </si>
  <si>
    <t>年度特休_X</t>
    <phoneticPr fontId="6" type="noConversion"/>
  </si>
  <si>
    <t>曆年年度</t>
    <phoneticPr fontId="1" type="noConversion"/>
  </si>
  <si>
    <t>到職日前_A</t>
    <phoneticPr fontId="1" type="noConversion"/>
  </si>
  <si>
    <t>到職日後_B</t>
    <phoneticPr fontId="1" type="noConversion"/>
  </si>
  <si>
    <t>特休最大年資</t>
  </si>
  <si>
    <t>為到職日至12/31的比例</t>
    <phoneticPr fontId="1" type="noConversion"/>
  </si>
  <si>
    <t>到職日前的比例是滿周年天數減到職日後天數</t>
    <phoneticPr fontId="1" type="noConversion"/>
  </si>
  <si>
    <t>滿半年比例=</t>
    <phoneticPr fontId="6" type="noConversion"/>
  </si>
  <si>
    <r>
      <t>1/1至到職日</t>
    </r>
    <r>
      <rPr>
        <b/>
        <sz val="12"/>
        <color rgb="FFFF0000"/>
        <rFont val="微軟正黑體"/>
        <family val="2"/>
        <charset val="136"/>
      </rPr>
      <t>比例=</t>
    </r>
    <phoneticPr fontId="6" type="noConversion"/>
  </si>
  <si>
    <t>年度末</t>
    <phoneticPr fontId="1" type="noConversion"/>
  </si>
  <si>
    <t>年度初</t>
    <phoneticPr fontId="1" type="noConversion"/>
  </si>
  <si>
    <t>到職周年</t>
    <phoneticPr fontId="1" type="noConversion"/>
  </si>
  <si>
    <t>年</t>
    <phoneticPr fontId="1" type="noConversion"/>
  </si>
  <si>
    <t>比例</t>
    <phoneticPr fontId="1" type="noConversion"/>
  </si>
  <si>
    <t>特休</t>
    <phoneticPr fontId="1" type="noConversion"/>
  </si>
  <si>
    <t>x</t>
    <phoneticPr fontId="1" type="noConversion"/>
  </si>
  <si>
    <t>=</t>
    <phoneticPr fontId="1" type="noConversion"/>
  </si>
  <si>
    <t>-</t>
    <phoneticPr fontId="1" type="noConversion"/>
  </si>
  <si>
    <t>(四捨五入至整數)</t>
    <phoneticPr fontId="1" type="noConversion"/>
  </si>
  <si>
    <t>(四捨五入至整數)</t>
  </si>
  <si>
    <t>+</t>
    <phoneticPr fontId="1" type="noConversion"/>
  </si>
  <si>
    <t>天</t>
    <phoneticPr fontId="1" type="noConversion"/>
  </si>
  <si>
    <t>使其為整數</t>
    <phoneticPr fontId="1" type="noConversion"/>
  </si>
  <si>
    <t>曆年制年度特休天數</t>
    <phoneticPr fontId="1" type="noConversion"/>
  </si>
  <si>
    <r>
      <rPr>
        <b/>
        <sz val="14"/>
        <color rgb="FFFF0000"/>
        <rFont val="標楷體"/>
        <family val="4"/>
        <charset val="136"/>
      </rPr>
      <t>◎</t>
    </r>
    <r>
      <rPr>
        <b/>
        <sz val="14"/>
        <color rgb="FFFF0000"/>
        <rFont val="微軟正黑體"/>
        <family val="2"/>
        <charset val="136"/>
      </rPr>
      <t>上述試算程式未計算滿半年3天的部分</t>
    </r>
    <phoneticPr fontId="1" type="noConversion"/>
  </si>
  <si>
    <t>周年制年度</t>
    <phoneticPr fontId="1" type="noConversion"/>
  </si>
  <si>
    <t>周年制天數</t>
    <phoneticPr fontId="1" type="noConversion"/>
  </si>
  <si>
    <t>日期</t>
    <phoneticPr fontId="1" type="noConversion"/>
  </si>
  <si>
    <r>
      <t>曆年制</t>
    </r>
    <r>
      <rPr>
        <b/>
        <sz val="12"/>
        <color rgb="FFFF0000"/>
        <rFont val="微軟正黑體"/>
        <family val="2"/>
        <charset val="136"/>
      </rPr>
      <t>比例天數</t>
    </r>
    <phoneticPr fontId="1" type="noConversion"/>
  </si>
  <si>
    <t>曆年制年度</t>
    <phoneticPr fontId="1" type="noConversion"/>
  </si>
  <si>
    <t>曆年制天數</t>
    <phoneticPr fontId="1" type="noConversion"/>
  </si>
  <si>
    <t>到職日前</t>
    <phoneticPr fontId="1" type="noConversion"/>
  </si>
  <si>
    <t>日數</t>
    <phoneticPr fontId="1" type="noConversion"/>
  </si>
  <si>
    <t>留職停薪天數</t>
    <phoneticPr fontId="6" type="noConversion"/>
  </si>
  <si>
    <t>到職日</t>
    <phoneticPr fontId="6" type="noConversion"/>
  </si>
  <si>
    <t>年資_年</t>
    <phoneticPr fontId="6" type="noConversion"/>
  </si>
  <si>
    <t>年資計算日期</t>
    <phoneticPr fontId="6" type="noConversion"/>
  </si>
  <si>
    <t>得特休_X+C</t>
    <phoneticPr fontId="6" type="noConversion"/>
  </si>
  <si>
    <t>特休比例</t>
    <phoneticPr fontId="6" type="noConversion"/>
  </si>
  <si>
    <t>到職周年</t>
    <phoneticPr fontId="6" type="noConversion"/>
  </si>
  <si>
    <t>年度特休_X</t>
    <phoneticPr fontId="6" type="noConversion"/>
  </si>
  <si>
    <t>曆年年度</t>
    <phoneticPr fontId="1" type="noConversion"/>
  </si>
  <si>
    <t>到職日前_A</t>
    <phoneticPr fontId="1" type="noConversion"/>
  </si>
  <si>
    <t>到職日後_B</t>
    <phoneticPr fontId="1" type="noConversion"/>
  </si>
  <si>
    <t>到職日前的比例是滿周年天數減到職日後天數</t>
    <phoneticPr fontId="1" type="noConversion"/>
  </si>
  <si>
    <t>滿半年比例=</t>
    <phoneticPr fontId="6" type="noConversion"/>
  </si>
  <si>
    <r>
      <t>1/1至到職日</t>
    </r>
    <r>
      <rPr>
        <b/>
        <sz val="12"/>
        <color rgb="FFFF0000"/>
        <rFont val="微軟正黑體"/>
        <family val="2"/>
        <charset val="136"/>
      </rPr>
      <t>比例=</t>
    </r>
    <phoneticPr fontId="6" type="noConversion"/>
  </si>
  <si>
    <t>年度末</t>
    <phoneticPr fontId="1" type="noConversion"/>
  </si>
  <si>
    <t>年度初</t>
    <phoneticPr fontId="1" type="noConversion"/>
  </si>
  <si>
    <t>到職周年</t>
    <phoneticPr fontId="1" type="noConversion"/>
  </si>
  <si>
    <t>年</t>
    <phoneticPr fontId="1" type="noConversion"/>
  </si>
  <si>
    <t>比例</t>
    <phoneticPr fontId="1" type="noConversion"/>
  </si>
  <si>
    <t>特休</t>
    <phoneticPr fontId="1" type="noConversion"/>
  </si>
  <si>
    <t>x</t>
    <phoneticPr fontId="1" type="noConversion"/>
  </si>
  <si>
    <t>=</t>
    <phoneticPr fontId="1" type="noConversion"/>
  </si>
  <si>
    <t>-</t>
    <phoneticPr fontId="1" type="noConversion"/>
  </si>
  <si>
    <t>(強制進位)</t>
    <phoneticPr fontId="1" type="noConversion"/>
  </si>
  <si>
    <t>+</t>
    <phoneticPr fontId="1" type="noConversion"/>
  </si>
  <si>
    <t>天</t>
    <phoneticPr fontId="1" type="noConversion"/>
  </si>
  <si>
    <t>使其為整數</t>
    <phoneticPr fontId="1" type="noConversion"/>
  </si>
  <si>
    <t>曆年制年度特休天數</t>
    <phoneticPr fontId="1" type="noConversion"/>
  </si>
  <si>
    <r>
      <rPr>
        <b/>
        <sz val="14"/>
        <color rgb="FFFF0000"/>
        <rFont val="標楷體"/>
        <family val="4"/>
        <charset val="136"/>
      </rPr>
      <t>◎</t>
    </r>
    <r>
      <rPr>
        <b/>
        <sz val="14"/>
        <color rgb="FFFF0000"/>
        <rFont val="微軟正黑體"/>
        <family val="2"/>
        <charset val="136"/>
      </rPr>
      <t>上述試算程式未計算滿半年3天的部分</t>
    </r>
    <phoneticPr fontId="1" type="noConversion"/>
  </si>
  <si>
    <t>周年制年度</t>
    <phoneticPr fontId="1" type="noConversion"/>
  </si>
  <si>
    <t>周年制天數</t>
    <phoneticPr fontId="1" type="noConversion"/>
  </si>
  <si>
    <t>日期</t>
    <phoneticPr fontId="1" type="noConversion"/>
  </si>
  <si>
    <r>
      <t>曆年制</t>
    </r>
    <r>
      <rPr>
        <b/>
        <sz val="12"/>
        <color rgb="FFFF0000"/>
        <rFont val="微軟正黑體"/>
        <family val="2"/>
        <charset val="136"/>
      </rPr>
      <t>比例天數</t>
    </r>
    <phoneticPr fontId="1" type="noConversion"/>
  </si>
  <si>
    <t>曆年制年度</t>
    <phoneticPr fontId="1" type="noConversion"/>
  </si>
  <si>
    <t>曆年制天數</t>
    <phoneticPr fontId="1" type="noConversion"/>
  </si>
  <si>
    <t>到職日前</t>
    <phoneticPr fontId="1" type="noConversion"/>
  </si>
  <si>
    <t>強制進位至整數</t>
  </si>
  <si>
    <r>
      <t>以到職日後的比例為主計算特休天數</t>
    </r>
    <r>
      <rPr>
        <b/>
        <sz val="12"/>
        <color rgb="FFFF0000"/>
        <rFont val="微軟正黑體"/>
        <family val="2"/>
        <charset val="136"/>
      </rPr>
      <t>&lt;&lt;強制進位到整數</t>
    </r>
    <phoneticPr fontId="1" type="noConversion"/>
  </si>
  <si>
    <t>原始</t>
    <phoneticPr fontId="1" type="noConversion"/>
  </si>
  <si>
    <t>天數試算(四捨五入至小數第二位)</t>
    <phoneticPr fontId="1" type="noConversion"/>
  </si>
  <si>
    <t>以到職日前的比例為主計算特休天數</t>
    <phoneticPr fontId="1" type="noConversion"/>
  </si>
  <si>
    <t>天數整數化試算(強制進位至整數)</t>
    <phoneticPr fontId="1" type="noConversion"/>
  </si>
  <si>
    <t>輸入試算年度</t>
    <phoneticPr fontId="1" type="noConversion"/>
  </si>
  <si>
    <t>到職日後的比例是滿周年天數減到職日前天數</t>
    <phoneticPr fontId="1" type="noConversion"/>
  </si>
  <si>
    <t>(到職日前四使五入至小數第二位)</t>
    <phoneticPr fontId="1" type="noConversion"/>
  </si>
  <si>
    <r>
      <t>以到職日後的比例為主計算特休天數</t>
    </r>
    <r>
      <rPr>
        <b/>
        <sz val="12"/>
        <color rgb="FFFF0000"/>
        <rFont val="微軟正黑體"/>
        <family val="2"/>
        <charset val="136"/>
      </rPr>
      <t>&lt;&lt;四捨五入進位到整數</t>
    </r>
    <phoneticPr fontId="1" type="noConversion"/>
  </si>
  <si>
    <t>選擇特休試算方式</t>
    <phoneticPr fontId="1" type="noConversion"/>
  </si>
  <si>
    <t>&lt;&lt;特休試算方式按官方算法, 會有小數</t>
    <phoneticPr fontId="1" type="noConversion"/>
  </si>
  <si>
    <t>&lt;&lt;年度特休天數整數化_方式一</t>
    <phoneticPr fontId="1" type="noConversion"/>
  </si>
  <si>
    <t>&lt;&lt;年度特休天數整數化_方式二</t>
    <phoneticPr fontId="1" type="noConversion"/>
  </si>
  <si>
    <t>&lt;&lt;可以貼上公司所有員工到職日等資料進行試算</t>
    <phoneticPr fontId="1" type="noConversion"/>
  </si>
  <si>
    <t>點擊進入試算</t>
    <phoneticPr fontId="1" type="noConversion"/>
  </si>
  <si>
    <t>為到職日至12/31的比例</t>
  </si>
  <si>
    <t>為到職日至12/31的比例</t>
    <phoneticPr fontId="1" type="noConversion"/>
  </si>
  <si>
    <t>第 一 章 總則</t>
  </si>
  <si>
    <t>本細則依勞動基準法(以下簡稱本法)第八十五條規定訂定之。</t>
  </si>
  <si>
    <t>依本法第二條第四款計算平均工資時，下列各款期日或期間均不計入：</t>
  </si>
  <si>
    <t>一、發生計算事由之當日。</t>
  </si>
  <si>
    <t>二、因職業災害尚在醫療中者。</t>
  </si>
  <si>
    <t>三、依本法第五十條第二項減半發給工資者。</t>
  </si>
  <si>
    <t>四、雇主因天災、事變或其他不可抗力而不能繼續其事業，致勞工未能工</t>
  </si>
  <si>
    <t>七、留職停薪者。</t>
  </si>
  <si>
    <t>本法第三條第一項第一款至第七款所列各業，適用中華民國行業標準分類</t>
  </si>
  <si>
    <t>之規定。</t>
  </si>
  <si>
    <t>本法第三條第一項第八款所稱中央主管機關指定之事業及第三項所稱適用</t>
  </si>
  <si>
    <t>本法確有窒礙難行者，係指中央主管機關依中華民國行業標準分類之規定</t>
  </si>
  <si>
    <t>指定者，並得僅指定各行業中之一部分。</t>
  </si>
  <si>
    <t>第 4-1 條</t>
  </si>
  <si>
    <t>（刪除）</t>
  </si>
  <si>
    <t>勞工工作年資以服務同一事業單位為限，並自受僱當日起算。</t>
  </si>
  <si>
    <t>適用本法前已在同一事業單位工作之年資合併計算。</t>
  </si>
  <si>
    <t>第 二 章 勞動契約</t>
  </si>
  <si>
    <t>本法第九條第一項所稱臨時性、短期性、季節性及特定性工作，依左列規</t>
  </si>
  <si>
    <t>定認定之：</t>
  </si>
  <si>
    <t>一、臨時性工作：係指無法預期之非繼續性工作，其工作期間在六個月以</t>
  </si>
  <si>
    <t>二、短期性工作：係指可預期於六個月內完成之非繼續性工作。</t>
  </si>
  <si>
    <t>三、季節性工作：係指受季節性原料、材料來源或市場銷售影響之非繼續</t>
  </si>
  <si>
    <t>四、特定性工作：係指可在特定期間完成之非繼續性工作。其工作期間超</t>
  </si>
  <si>
    <t>勞動契約應依本法有關規定約定下列事項：</t>
  </si>
  <si>
    <t>一、工作場所及應從事之工作。</t>
  </si>
  <si>
    <t>二、工作開始與終止之時間、休息時間、休假、例假、休息日、請假及輪</t>
  </si>
  <si>
    <t>三、工資之議定、調整、計算、結算與給付之日期及方法。</t>
  </si>
  <si>
    <t>四、勞動契約之訂定、終止及退休。</t>
  </si>
  <si>
    <t>五、資遣費、退休金、其他津貼及獎金。</t>
  </si>
  <si>
    <t>六、勞工應負擔之膳宿費及工作用具費。</t>
  </si>
  <si>
    <t>七、安全衛生。</t>
  </si>
  <si>
    <t>八、勞工教育及訓練。</t>
  </si>
  <si>
    <t>九、福利。</t>
  </si>
  <si>
    <t>十、災害補償及一般傷病補助。</t>
  </si>
  <si>
    <t>十一、應遵守之紀律。</t>
  </si>
  <si>
    <t>十二、獎懲。</t>
  </si>
  <si>
    <t>十三、其他勞資權利義務有關事項。</t>
  </si>
  <si>
    <t>第 7-1 條</t>
  </si>
  <si>
    <t>離職後競業禁止之約定，應以書面為之，且應詳細記載本法第九條之一第</t>
  </si>
  <si>
    <t>一項第三款及第四款規定之內容，並由雇主與勞工簽章，各執一份。</t>
  </si>
  <si>
    <t>第 7-2 條</t>
  </si>
  <si>
    <t>本法第九條之一第一項第三款所為之約定未逾合理範疇，應符合下列規定</t>
  </si>
  <si>
    <t>：</t>
  </si>
  <si>
    <t>一、競業禁止之期間，不得逾越雇主欲保護之營業秘密或技術資訊之生命</t>
  </si>
  <si>
    <t>二、競業禁止之區域，應以原雇主實際營業活動之範圍為限。</t>
  </si>
  <si>
    <t>三、競業禁止之職業活動範圍，應具體明確，且與勞工原職業活動範圍相</t>
  </si>
  <si>
    <t>四、競業禁止之就業對象，應具體明確，並以與原雇主之營業活動相同或</t>
  </si>
  <si>
    <t>第 7-3 條</t>
  </si>
  <si>
    <t>本法第九條之一第一項第四款所定之合理補償，應就下列事項綜合考量：</t>
  </si>
  <si>
    <t>一、每月補償金額不低於勞工離職時一個月平均工資百分之五十。</t>
  </si>
  <si>
    <t>二、補償金額足以維持勞工離職後競業禁止期間之生活所需。</t>
  </si>
  <si>
    <t>三、補償金額與勞工遵守競業禁止之期間、區域、職業活動範圍及就業對</t>
  </si>
  <si>
    <t>四、其他與判斷補償基準合理性有關之事項。</t>
  </si>
  <si>
    <t>前項合理補償，應約定離職後一次預為給付或按月給付。</t>
  </si>
  <si>
    <t>依本法終止勞動契約時，雇主應即結清工資給付勞工。</t>
  </si>
  <si>
    <t>第 三 章 工資</t>
  </si>
  <si>
    <t>本法第二條第三款所稱之其他任何名義之經常性給與係指左列各款以外之</t>
  </si>
  <si>
    <t>給與。</t>
  </si>
  <si>
    <t>一、紅利。</t>
  </si>
  <si>
    <t>二、獎金：指年終獎金、競賽獎金、研究發明獎金、特殊功績獎金、久任</t>
  </si>
  <si>
    <t>三、春節、端午節、中秋節給與之節金。</t>
  </si>
  <si>
    <t>四、醫療補助費、勞工及其子女教育補助費。</t>
  </si>
  <si>
    <t>五、勞工直接受自顧客之服務費。</t>
  </si>
  <si>
    <t>六、婚喪喜慶由雇主致送之賀禮、慰問金或奠儀等。</t>
  </si>
  <si>
    <t>七、職業災害補償費。</t>
  </si>
  <si>
    <t>八、勞工保險及雇主以勞工為被保險人加入商業保險支付之保險費。</t>
  </si>
  <si>
    <t>九、差旅費、差旅津貼及交際費。</t>
  </si>
  <si>
    <t>十、工作服、作業用品及其代金。</t>
  </si>
  <si>
    <t>十一、其他經中央主管機關會同中央目的事業主管機關指定者。</t>
  </si>
  <si>
    <t>本法第二十一條所稱基本工資，指勞工在正常工作時間內所得之報酬。不</t>
  </si>
  <si>
    <t>包括延長工作時間之工資與休息日、休假日及例假工作加給之工資。</t>
  </si>
  <si>
    <t>採計件工資之勞工所得基本工資，以每日工作八小時之生產額或工作量換</t>
  </si>
  <si>
    <t>算之。</t>
  </si>
  <si>
    <t>勞工工作時間每日少於八小時者，除工作規則、勞動契約另有約定或另有</t>
  </si>
  <si>
    <t>法令規定者外，其基本工資得按工作時間比例計算之。</t>
  </si>
  <si>
    <t>第 14-1 條</t>
  </si>
  <si>
    <t>本法第二十三條所定工資各項目計算方式明細，應包括下列事項：</t>
  </si>
  <si>
    <t>一、勞雇雙方議定之工資總額。</t>
  </si>
  <si>
    <t>二、工資各項目之給付金額。</t>
  </si>
  <si>
    <t>三、依法令規定或勞雇雙方約定，得扣除項目之金額。</t>
  </si>
  <si>
    <t>四、實際發給之金額。</t>
  </si>
  <si>
    <t>雇主提供之前項明細，得以紙本、電子資料傳輸方式或其他勞工可隨時取</t>
  </si>
  <si>
    <t>得及得列印之資料為之。</t>
  </si>
  <si>
    <t>本法第二十八條第一項第一款所定積欠之工資，以雇主於歇業、清算或宣</t>
  </si>
  <si>
    <t>告破產前六個月內所積欠者為限。</t>
  </si>
  <si>
    <t>勞工死亡時，雇主應即結清其工資給付其遺屬。</t>
  </si>
  <si>
    <t>前項受領工資之順位準用本法第五十九條第四款之規定。</t>
  </si>
  <si>
    <t>第 四 章 工作時間、休息、休假</t>
  </si>
  <si>
    <t>本法第三十條所稱正常工作時間跨越二曆日者，其工作時間應合併計算。</t>
  </si>
  <si>
    <t>勞工因出差或其他原因於事業場所外從事工作致不易計算工作時間者，以</t>
  </si>
  <si>
    <t>平時之工作時間為其工作時間。但其實際工作時間經證明者，不在此限。</t>
  </si>
  <si>
    <t>勞工於同一事業單位或同一雇主所屬不同事業場所工作時，應將在各該場</t>
  </si>
  <si>
    <t>所之工作時間合併計算，並加計往來於事業場所間所必要之交通時間。</t>
  </si>
  <si>
    <t>一、依本法第三十條第二項、第三項或第三十條之一第一項第一款規定變</t>
  </si>
  <si>
    <t>二、依本法第三十條之一第一項第二款或第三十二條第一項、第二項、第</t>
  </si>
  <si>
    <t>三、依本法第三十四條第二項但書規定變更勞工更換班次時之休息時間。</t>
  </si>
  <si>
    <t>四、依本法第三十六條第二項或第四項規定調整勞工例假或休息日。</t>
  </si>
  <si>
    <t>第 20-1 條</t>
  </si>
  <si>
    <t>本法所定雇主延長勞工工作之時間如下：</t>
  </si>
  <si>
    <t>一、每日工作時間超過八小時或每週工作總時數超過四十小時之部分。但</t>
  </si>
  <si>
    <t>二、勞工於本法第三十六條所定休息日工作之時間。</t>
  </si>
  <si>
    <t>本法第三十條第五項所定出勤紀錄，包括以簽到簿、出勤卡、刷卡機、門</t>
  </si>
  <si>
    <t>禁卡、生物特徵辨識系統、電腦出勤紀錄系統或其他可資覈實記載出勤時</t>
  </si>
  <si>
    <t>間工具所為之紀錄。</t>
  </si>
  <si>
    <t>前項出勤紀錄，雇主因勞動檢查之需要或勞工向其申請時，應以書面方式</t>
  </si>
  <si>
    <t>提出。</t>
  </si>
  <si>
    <t>本法第三十二條第二項但書所定每三個月，以每連續三個月為一週期，依</t>
  </si>
  <si>
    <t>曆計算，以勞雇雙方約定之起迄日期認定之。</t>
  </si>
  <si>
    <t>本法第三十二條第五項但書所定坑內監視為主之工作範圍如下：</t>
  </si>
  <si>
    <t>一、從事排水機之監視工作。</t>
  </si>
  <si>
    <t>二、從事壓風機或冷卻設備之監視工作。</t>
  </si>
  <si>
    <t>三、從事安全警報裝置之監視工作。</t>
  </si>
  <si>
    <t>四、從事生產或營建施工之紀錄及監視工作。</t>
  </si>
  <si>
    <t>第 22-1 條</t>
  </si>
  <si>
    <t>本法第三十二條第三項、第三十四條第三項及第三十六條第五項所定雇主</t>
  </si>
  <si>
    <t>僱用勞工人數，以同一雇主僱用適用本法之勞工人數計算，包括分支機構</t>
  </si>
  <si>
    <t>之僱用人數。</t>
  </si>
  <si>
    <t>本法第三十二條第三項、第三十四條第三項及第三十六條第五項所定當地</t>
  </si>
  <si>
    <t>縣（市）政府。</t>
  </si>
  <si>
    <t>本法第三十二條第三項、第三十四條第三項及第三十六條第五項所定應報</t>
  </si>
  <si>
    <t>備查，雇主至遲應於開始實施延長工作時間、變更休息時間或調整例假之</t>
  </si>
  <si>
    <t>前一日為之。但因天災、事變或突發事件不及報備查者，應於原因消滅後</t>
  </si>
  <si>
    <t>二十四小時內敘明理由為之。</t>
  </si>
  <si>
    <t>第 22-2 條</t>
  </si>
  <si>
    <t>前項補休期限屆期或契約終止時，發給工資之期限如下：</t>
  </si>
  <si>
    <t>一、補休期限屆期：於契約約定之工資給付日發給或於補休期限屆期後三</t>
  </si>
  <si>
    <t>二、契約終止：依第九條規定發給。</t>
  </si>
  <si>
    <t>第 22-3 條</t>
  </si>
  <si>
    <t>本法第三十六條第一項、第二項第一款及第二款所定之例假，以每七日為</t>
  </si>
  <si>
    <t>一週期，依曆計算。雇主除依同條第四項及第五項規定調整者外，不得使</t>
  </si>
  <si>
    <t>勞工連續工作逾六日。</t>
  </si>
  <si>
    <t>第 23-1 條</t>
  </si>
  <si>
    <t>本法第三十七條所定休假遇本法第三十六條所定例假及休息日者，應予補</t>
  </si>
  <si>
    <t>假。但不包括本法第三十七條指定應放假之日。</t>
  </si>
  <si>
    <t>前項補假期日，由勞雇雙方協商排定之。</t>
  </si>
  <si>
    <t>二、每年一月一日至十二月三十一日之期間。</t>
  </si>
  <si>
    <t>三、教育單位之學年度、事業單位之會計年度或勞雇雙方約定年度之期間</t>
  </si>
  <si>
    <t>雇主依本法第三十八條第三項規定告知勞工排定特別休假，應於勞工符合</t>
  </si>
  <si>
    <t>特別休假條件之日起三十日內為之。</t>
  </si>
  <si>
    <t>第 24-1 條</t>
  </si>
  <si>
    <t>本法第三十八條第四項所定年度終結，為前條第二項期間屆滿之日。</t>
  </si>
  <si>
    <t>本法第三十八條第四項所定雇主應發給工資，依下列規定辦理：</t>
  </si>
  <si>
    <t>一、發給工資之基準：</t>
  </si>
  <si>
    <t>（三）勞雇雙方依本法第三十八條第四項但書規定協商遞延至次一年度實</t>
  </si>
  <si>
    <t>二、發給工資之期限：</t>
  </si>
  <si>
    <t>（二）契約終止：依第九條規定發給。</t>
  </si>
  <si>
    <t>勞雇雙方依本法第三十八條第四項但書規定協商遞延至次一年度實施者，</t>
  </si>
  <si>
    <t>其遞延之日數，於次一年度請休特別休假時，優先扣除。</t>
  </si>
  <si>
    <t>第 24-2 條</t>
  </si>
  <si>
    <t>本法第三十八條第五項所定每年定期發給之書面通知，依下列規定辦理：</t>
  </si>
  <si>
    <t>一、雇主應於前條第二項第二款所定發給工資之期限前發給。</t>
  </si>
  <si>
    <t>二、書面通知，得以紙本、電子資料傳輸方式或其他勞工可隨時取得及得</t>
  </si>
  <si>
    <t>第 24-3 條</t>
  </si>
  <si>
    <t>本法第三十九條所定休假日，為本法第三十七條所定休假及第三十八條所</t>
  </si>
  <si>
    <t>定特別休假。</t>
  </si>
  <si>
    <t>第 五 章 童工、女工</t>
  </si>
  <si>
    <t>本法第四十四條第二項所定危險性或有害性之工作，依職業安全衛生有關</t>
  </si>
  <si>
    <t>法令之規定。</t>
  </si>
  <si>
    <t>雇主對依本法第五十條第一項請產假之女工，得要求其提出證明文件。</t>
  </si>
  <si>
    <t>第 六 章 退休</t>
  </si>
  <si>
    <t>本法第五十三條第一款、第五十四條第一項第一款及同條第二項但書規定</t>
  </si>
  <si>
    <t>之年齡，應以戶籍記載為準。</t>
  </si>
  <si>
    <t>本法第五十五條第三項所定雇主得報經主管機關核定分期給付勞工退休金</t>
  </si>
  <si>
    <t>之情形如下：</t>
  </si>
  <si>
    <t>一、依法提撥之退休準備金不敷支付。</t>
  </si>
  <si>
    <t>二、事業之經營或財務確有困難。</t>
  </si>
  <si>
    <t>第 29-1 條</t>
  </si>
  <si>
    <t>本法第五十六條第二項規定之退休金數額，按本法第五十五條第一項之給</t>
  </si>
  <si>
    <t>與標準，依下列規定估算：</t>
  </si>
  <si>
    <t>一、勞工人數：為估算當年度終了時適用本法或勞工退休金條例第十一條</t>
  </si>
  <si>
    <t>二、工作年資：自適用本法之日起算至估算當年度之次一年度終了或選擇</t>
  </si>
  <si>
    <t>三、平均工資：為估算當年度終了之一個月平均工資。</t>
  </si>
  <si>
    <t>前項數額以元為單位，角以下四捨五入。</t>
  </si>
  <si>
    <t>第 七 章 職業災害補償</t>
  </si>
  <si>
    <t>雇主依本法第五十九條第二款補償勞工之工資，應於發給工資之日給與。</t>
  </si>
  <si>
    <t>本法第五十九條第二款所稱原領工資，係指該勞工遭遇職業災害前一日正</t>
  </si>
  <si>
    <t>常工作時間所得之工資。其為計月者，以遭遇職業災害前最近一個月正常</t>
  </si>
  <si>
    <t>工作時間所得之工資除以三十所得之金額，為其一日之工資。</t>
  </si>
  <si>
    <t>罹患職業病者依前項規定計算所得金額低於平均工資者，以平均工資為準</t>
  </si>
  <si>
    <t>依本法第五十九條第二款但書規定給付之補償，雇主應於決定後十五日內</t>
  </si>
  <si>
    <t>給與。在未給與前雇主仍應繼續為同款前段規定之補償。</t>
  </si>
  <si>
    <t>雇主依本法第五十九條第四款給與勞工之喪葬費應於死亡後三日內，死亡</t>
  </si>
  <si>
    <t>補償應於死亡後十五日內給付。</t>
  </si>
  <si>
    <t>本法第五十九條所定同一事故，依勞工保險條例或其他法令規定，已由雇</t>
  </si>
  <si>
    <t>主支付費用補償者，雇主得予以抵充之。但支付之費用如由勞工與雇主共</t>
  </si>
  <si>
    <t>同負擔者，其補償之抵充按雇主負擔之比例計算。</t>
  </si>
  <si>
    <t>第 34-1 條</t>
  </si>
  <si>
    <t>投保，並經保險人核定為職業災害保險事故者，雇主依本法第五十九條規</t>
  </si>
  <si>
    <t>定給予之補償，以勞工之平均工資與平均投保薪資之差額，依本法第五十</t>
  </si>
  <si>
    <t>九條第三款及第四款規定標準計算之。</t>
  </si>
  <si>
    <t>第 八 章 技術生</t>
  </si>
  <si>
    <t>雇主不得使技術生從事家事、雜役及其他非學習技能為目的之工作。但從</t>
  </si>
  <si>
    <t>事事業場所內之清潔整頓，器具工具及機械之清理者不在此限。</t>
  </si>
  <si>
    <t>技術生之工作時間應包括學科時間。</t>
  </si>
  <si>
    <t>第 九 章 工作規則</t>
  </si>
  <si>
    <t>雇主於僱用勞工人數滿三十人時應即訂立工作規則，並於三十日內報請當</t>
  </si>
  <si>
    <t>地主管機關核備。</t>
  </si>
  <si>
    <t>本法第七十條所定雇主僱用勞工人數，依第二十二條之一第一項規定計算</t>
  </si>
  <si>
    <t>工作規則應依據法令、勞資協議或管理制度變更情形適時修正，修正後並</t>
  </si>
  <si>
    <t>依第一項程序報請核備。</t>
  </si>
  <si>
    <t>主管機關認為有必要時，得通知雇主修訂前項工作規則。</t>
  </si>
  <si>
    <t>工作規則經主管機關核備後，雇主應即於事業場所內公告並印發各勞工。</t>
  </si>
  <si>
    <t>雇主認有必要時，得分別就本法第七十條各款另訂單項工作規則。</t>
  </si>
  <si>
    <t>事業單位之事業場所分散各地者，雇主得訂立適用於其事業單位全部勞工</t>
  </si>
  <si>
    <t>之工作規則或適用於該事業場所之工作規則。</t>
  </si>
  <si>
    <t>第 十 章 監督及檢查</t>
  </si>
  <si>
    <t>中央主管機關應每年定期發布次年度勞工檢查方針。</t>
  </si>
  <si>
    <t>檢查機構應依前項檢查方針分別擬定各該機構之勞工檢查計畫，並於檢查</t>
  </si>
  <si>
    <t>方針發布之日起五十日內報請中央主管機關核定後，依該檢查計畫實施檢</t>
  </si>
  <si>
    <t>查。</t>
  </si>
  <si>
    <t>勞工檢查機構檢查員之任用、訓練、服務，除適用公務員法令之規定外，</t>
  </si>
  <si>
    <t>檢查員對事業單位實施檢查時，得通知事業單位之雇主、雇主代理人、勞</t>
  </si>
  <si>
    <t>工或有關人員提供必要文件或作必要之說明。</t>
  </si>
  <si>
    <t>檢查員檢查後，應將檢查結果向事業單位作必要之說明，並報告檢查機構</t>
  </si>
  <si>
    <t>檢查機構認為事業單位有違反法令規定時，應依法處理。</t>
  </si>
  <si>
    <t>事業單位對檢查結果有異議時，應於通知送達後十日內向檢查機構以書面</t>
  </si>
  <si>
    <t>本法第七十四條第一項規定之申訴得以口頭或書面為之。</t>
  </si>
  <si>
    <t>雇主對前條之申訴事項，應即查明，如有違反法令規定情事應即改正，並</t>
  </si>
  <si>
    <t>將結果通知申訴人。</t>
  </si>
  <si>
    <t>第 十一 章 附則</t>
  </si>
  <si>
    <t>本法第八十四條所稱公務員兼具勞工身分者，係指依各項公務員人事法令</t>
  </si>
  <si>
    <t>任用、派用、聘用、遴用而於本法第三條所定各業從事工作獲致薪資之人</t>
  </si>
  <si>
    <t>員。所稱其他所定勞動條件，係指工作時間、休息、休假、安全衛生、福</t>
  </si>
  <si>
    <t>利、加班費等而言。</t>
  </si>
  <si>
    <t>第 50-1 條</t>
  </si>
  <si>
    <t>本法第八十四條之一第一項第一款、第二款所稱監督、管理人員、責任制</t>
  </si>
  <si>
    <t>專業人員、監視性或間歇性工作，依左列規定：</t>
  </si>
  <si>
    <t>一、監督、管理人員：係指受雇主僱用，負責事業之經營及管理工作，並</t>
  </si>
  <si>
    <t>二、責任制專業人員：係指以專門知識或技術完成一定任務並負責其成敗</t>
  </si>
  <si>
    <t>三、監視性工作：係指於一定場所以監視為主之工作。</t>
  </si>
  <si>
    <t>四、間歇性工作：係指工作本身以間歇性之方式進行者。</t>
  </si>
  <si>
    <t>第 50-2 條</t>
  </si>
  <si>
    <t>雇主依本法第八十四條之一規定將其與勞工之書面約定報請當地主管機關</t>
  </si>
  <si>
    <t>核備時，其內容應包括職稱、工作項目、工作權責或工作性質、工作時間</t>
  </si>
  <si>
    <t>、例假、休假、女性夜間工作等有關事項。</t>
  </si>
  <si>
    <t>第 50-3 條</t>
  </si>
  <si>
    <t>勞工因終止勞動契約或發生職業災害所生爭議，提起給付工資、資遣費、</t>
  </si>
  <si>
    <t>退休金、職業災害補償或確認僱傭關係存在之訴訟，得向中央主管機關申</t>
  </si>
  <si>
    <t>請扶助。</t>
  </si>
  <si>
    <t>前項扶助業務，中央主管機關得委託民間團體辦理。</t>
  </si>
  <si>
    <t>第 50-4 條</t>
  </si>
  <si>
    <t>本法第二十八條第二項中華民國一百零四年二月六日修正生效前，雇主有</t>
  </si>
  <si>
    <t>清算或宣告破產之情事，於修正生效後，尚未清算完結或破產終結者，勞</t>
  </si>
  <si>
    <t>工對於該雇主所積欠之退休金及資遣費，得於同條第二項第二款規定之數</t>
  </si>
  <si>
    <t>額內，依同條第五項規定申請墊償。</t>
  </si>
  <si>
    <t>本細則自發布日施行。</t>
  </si>
  <si>
    <t/>
  </si>
  <si>
    <t>法規名稱：勞動基準法 英</t>
  </si>
  <si>
    <t>修正日期：民國 107 年 11 月 21 日</t>
  </si>
  <si>
    <t>法規類別：行政 ＞ 勞動部 ＞ 勞動條件及就業平等目</t>
  </si>
  <si>
    <t>為規定勞動條件最低標準，保障勞工權益，加強勞雇關係，促進社會與經</t>
  </si>
  <si>
    <t>濟發展，特制定本法；本法未規定者，適用其他法律之規定。</t>
  </si>
  <si>
    <t>雇主與勞工所訂勞動條件，不得低於本法所定之最低標準。</t>
  </si>
  <si>
    <t>本法用辭定義如左：</t>
  </si>
  <si>
    <t>一、勞工：謂受雇主僱用從事工作獲致工資者。</t>
  </si>
  <si>
    <t>二、雇主：謂僱用勞工之事業主、事業經營之負責人或代表事業主處理有</t>
  </si>
  <si>
    <t>關勞工事務之人。</t>
  </si>
  <si>
    <t>三、工資：謂勞工因工作而獲得之報酬；包括工資、薪金及按計時、計日</t>
  </si>
  <si>
    <t>、計月、計件以現金或實物等方式給付之獎金、津貼及其他任何名義</t>
  </si>
  <si>
    <t>之經常性給與均屬之。</t>
  </si>
  <si>
    <t>四、平均工資：謂計算事由發生之當日前六個月內所得工資總額除以該期</t>
  </si>
  <si>
    <t>間之總日數所得之金額。工作未滿六個月者，謂工作期間所得工資總</t>
  </si>
  <si>
    <t>額除以工作期間之總日數所得之金額。工資按工作日數、時數或論件</t>
  </si>
  <si>
    <t>計算者，其依上述方式計算之平均工資，如少於該期內工資總額除以</t>
  </si>
  <si>
    <t>實際工作日數所得金額百分之六十者，以百分之六十計。</t>
  </si>
  <si>
    <t>五、事業單位：謂適用本法各業僱用勞工從事工作之機構。</t>
  </si>
  <si>
    <t>六、勞動契約：謂約定勞雇關係之契約。</t>
  </si>
  <si>
    <t>本法於左列各業適用之：</t>
  </si>
  <si>
    <t>一、農、林、漁、牧業。</t>
  </si>
  <si>
    <t>二、礦業及土石採取業。</t>
  </si>
  <si>
    <t>三、製造業。</t>
  </si>
  <si>
    <t>四、營造業。</t>
  </si>
  <si>
    <t>五、水電、煤氣業。</t>
  </si>
  <si>
    <t>六、運輸、倉儲及通信業。</t>
  </si>
  <si>
    <t>七、大眾傳播業。</t>
  </si>
  <si>
    <t>八、其他經中央主管機關指定之事業。</t>
  </si>
  <si>
    <t>依前項第八款指定時，得就事業之部分工作場所或工作者指定適用。</t>
  </si>
  <si>
    <t>本法適用於一切勞雇關係。但因經營型態、管理制度及工作特性等因素適</t>
  </si>
  <si>
    <t>用本法確有窒礙難行者，並經中央主管機關指定公告之行業或工作者，不</t>
  </si>
  <si>
    <t>適用之。</t>
  </si>
  <si>
    <t>前項因窒礙難行而不適用本法者，不得逾第一項第一款至第七款以外勞工</t>
  </si>
  <si>
    <t>總數五分之一。</t>
  </si>
  <si>
    <t>本法所稱主管機關：在中央為勞動部；在直轄市為直轄市政府；在縣（市</t>
  </si>
  <si>
    <t>）為縣（市）政府。</t>
  </si>
  <si>
    <t>雇主不得以強暴、脅迫、拘禁或其他非法之方法，強制勞工從事勞動。</t>
  </si>
  <si>
    <t>任何人不得介入他人之勞動契約，抽取不法利益。</t>
  </si>
  <si>
    <t>雇主應置備勞工名卡，登記勞工之姓名、性別、出生年月日、本籍、教育</t>
  </si>
  <si>
    <t>程度、住址、身分證統一號碼、到職年月日、工資、勞工保險投保日期、</t>
  </si>
  <si>
    <t>獎懲、傷病及其他必要事項。</t>
  </si>
  <si>
    <t>前項勞工名卡，應保管至勞工離職後五年。</t>
  </si>
  <si>
    <t>雇主對於僱用之勞工，應預防職業上災害，建立適當之工作環境及福利設</t>
  </si>
  <si>
    <t>施。其有關安全衛生及福利事項，依有關法律之規定。</t>
  </si>
  <si>
    <t>勞動契約，分為定期契約及不定期契約。臨時性、短期性、季節性及特定</t>
  </si>
  <si>
    <t>性工作得為定期契約；有繼續性工作應為不定期契約。</t>
  </si>
  <si>
    <t>定期契約屆滿後，有左列情形之一者，視為不定期契約：</t>
  </si>
  <si>
    <t>一、勞工繼續工作而雇主不即表示反對意思者。</t>
  </si>
  <si>
    <t>二、雖經另訂新約，惟其前後勞動契約之工作期間超過九十日，前後契約</t>
  </si>
  <si>
    <t>間斷期間未超過三十日者。</t>
  </si>
  <si>
    <t>前項規定於特定性或季節性之定期工作不適用之。</t>
  </si>
  <si>
    <t>第 9-1 條</t>
  </si>
  <si>
    <t>未符合下列規定者，雇主不得與勞工為離職後競業禁止之約定：</t>
  </si>
  <si>
    <t>一、雇主有應受保護之正當營業利益。</t>
  </si>
  <si>
    <t>二、勞工擔任之職位或職務，能接觸或使用雇主之營業秘密。</t>
  </si>
  <si>
    <t>三、競業禁止之期間、區域、職業活動之範圍及就業對象，未逾合理範疇</t>
  </si>
  <si>
    <t>四、雇主對勞工因不從事競業行為所受損失有合理補償。</t>
  </si>
  <si>
    <t>前項第四款所定合理補償，不包括勞工於工作期間所受領之給付。</t>
  </si>
  <si>
    <t>違反第一項各款規定之一者，其約定無效。</t>
  </si>
  <si>
    <t>離職後競業禁止之期間，最長不得逾二年。逾二年者，縮短為二年。</t>
  </si>
  <si>
    <t>定期契約屆滿後或不定期契約因故停止履行後，未滿三個月而訂定新約或</t>
  </si>
  <si>
    <t>繼續履行原約時，勞工前後工作年資，應合併計算。</t>
  </si>
  <si>
    <t>第 10-1 條</t>
  </si>
  <si>
    <t>雇主調動勞工工作，不得違反勞動契約之約定，並應符合下列原則：</t>
  </si>
  <si>
    <t>一、基於企業經營上所必須，且不得有不當動機及目的。但法律另有規定</t>
  </si>
  <si>
    <t>者，從其規定。</t>
  </si>
  <si>
    <t>二、對勞工之工資及其他勞動條件，未作不利之變更。</t>
  </si>
  <si>
    <t>三、調動後工作為勞工體能及技術可勝任。</t>
  </si>
  <si>
    <t>四、調動工作地點過遠，雇主應予以必要之協助。</t>
  </si>
  <si>
    <t>五、考量勞工及其家庭之生活利益。</t>
  </si>
  <si>
    <t>非有左列情事之一者，雇主不得預告勞工終止勞動契約：</t>
  </si>
  <si>
    <t>一、歇業或轉讓時。</t>
  </si>
  <si>
    <t>二、虧損或業務緊縮時。</t>
  </si>
  <si>
    <t>三、不可抗力暫停工作在一個月以上時。</t>
  </si>
  <si>
    <t>四、業務性質變更，有減少勞工之必要，又無適當工作可供安置時。</t>
  </si>
  <si>
    <t>五、勞工對於所擔任之工作確不能勝任時。</t>
  </si>
  <si>
    <t>勞工有左列情形之一者，雇主得不經預告終止契約：</t>
  </si>
  <si>
    <t>一、於訂立勞動契約時為虛偽意思表示，使雇主誤信而有受損害之虞者。</t>
  </si>
  <si>
    <t>二、對於雇主、雇主家屬、雇主代理人或其他共同工作之勞工，實施暴行</t>
  </si>
  <si>
    <t>或有重大侮辱之行為者。</t>
  </si>
  <si>
    <t>三、受有期徒刑以上刑之宣告確定，而未諭知緩刑或未准易科罰金者。</t>
  </si>
  <si>
    <t>四、違反勞動契約或工作規則，情節重大者。</t>
  </si>
  <si>
    <t>五、故意損耗機器、工具、原料、產品，或其他雇主所有物品，或故意洩</t>
  </si>
  <si>
    <t>漏雇主技術上、營業上之秘密，致雇主受有損害者。</t>
  </si>
  <si>
    <t>六、無正當理由繼續曠工三日，或一個月內曠工達六日者。</t>
  </si>
  <si>
    <t>雇主依前項第一款、第二款及第四款至第六款規定終止契約者，應自知悉</t>
  </si>
  <si>
    <t>其情形之日起，三十日內為之。</t>
  </si>
  <si>
    <t>勞工在第五十條規定之停止工作期間或第五十九條規定之醫療期間，雇主</t>
  </si>
  <si>
    <t>不得終止契約。但雇主因天災、事變或其他不可抗力致事業不能繼續，經</t>
  </si>
  <si>
    <t>報主管機關核定者，不在此限。</t>
  </si>
  <si>
    <t>有下列情形之一者，勞工得不經預告終止契約：</t>
  </si>
  <si>
    <t>一、雇主於訂立勞動契約時為虛偽之意思表示，使勞工誤信而有受損害之</t>
  </si>
  <si>
    <t>虞者。</t>
  </si>
  <si>
    <t>二、雇主、雇主家屬、雇主代理人對於勞工，實施暴行或有重大侮辱之行</t>
  </si>
  <si>
    <t>為者。</t>
  </si>
  <si>
    <t>三、契約所訂之工作，對於勞工健康有危害之虞，經通知雇主改善而無效</t>
  </si>
  <si>
    <t>果者。</t>
  </si>
  <si>
    <t>四、雇主、雇主代理人或其他勞工患有法定傳染病，對共同工作之勞工有</t>
  </si>
  <si>
    <t>傳染之虞，且重大危害其健康者。</t>
  </si>
  <si>
    <t>五、雇主不依勞動契約給付工作報酬，或對於按件計酬之勞工不供給充分</t>
  </si>
  <si>
    <t>之工作者。</t>
  </si>
  <si>
    <t>六、雇主違反勞動契約或勞工法令，致有損害勞工權益之虞者。</t>
  </si>
  <si>
    <t>勞工依前項第一款、第六款規定終止契約者，應自知悉其情形之日起，三</t>
  </si>
  <si>
    <t>十日內為之。但雇主有前項第六款所定情形者，勞工得於知悉損害結果之</t>
  </si>
  <si>
    <t>日起，三十日內為之。</t>
  </si>
  <si>
    <t>有第一項第二款或第四款情形，雇主已將該代理人間之契約終止，或患有</t>
  </si>
  <si>
    <t>法定傳染病者依衛生法規已接受治療時，勞工不得終止契約。</t>
  </si>
  <si>
    <t>第十七條規定於本條終止契約準用之。</t>
  </si>
  <si>
    <t>特定性定期契約期限逾三年者，於屆滿三年後，勞工得終止契約。但應於</t>
  </si>
  <si>
    <t>三十日前預告雇主。</t>
  </si>
  <si>
    <t>不定期契約，勞工終止契約時，應準用第十六條第一項規定期間預告雇主</t>
  </si>
  <si>
    <t>第 15-1 條</t>
  </si>
  <si>
    <t>未符合下列規定之一，雇主不得與勞工為最低服務年限之約定：</t>
  </si>
  <si>
    <t>一、雇主為勞工進行專業技術培訓，並提供該項培訓費用者。</t>
  </si>
  <si>
    <t>二、雇主為使勞工遵守最低服務年限之約定，提供其合理補償者。</t>
  </si>
  <si>
    <t>前項最低服務年限之約定，應就下列事項綜合考量，不得逾合理範圍：</t>
  </si>
  <si>
    <t>一、雇主為勞工進行專業技術培訓之期間及成本。</t>
  </si>
  <si>
    <t>二、從事相同或類似職務之勞工，其人力替補可能性。</t>
  </si>
  <si>
    <t>三、雇主提供勞工補償之額度及範圍。</t>
  </si>
  <si>
    <t>四、其他影響最低服務年限合理性之事項。</t>
  </si>
  <si>
    <t>違反前二項規定者，其約定無效。</t>
  </si>
  <si>
    <t>勞動契約因不可歸責於勞工之事由而於最低服務年限屆滿前終止者，勞工</t>
  </si>
  <si>
    <t>不負違反最低服務年限約定或返還訓練費用之責任。</t>
  </si>
  <si>
    <t>雇主依第十一條或第十三條但書規定終止勞動契約者，其預告期間依左列</t>
  </si>
  <si>
    <t>各款之規定：</t>
  </si>
  <si>
    <t>一、繼續工作三個月以上一年未滿者，於十日前預告之。</t>
  </si>
  <si>
    <t>二、繼續工作一年以上三年未滿者，於二十日前預告之。</t>
  </si>
  <si>
    <t>三、繼續工作三年以上者，於三十日前預告之。</t>
  </si>
  <si>
    <t>勞工於接到前項預告後，為另謀工作得於工作時間請假外出。其請假時數</t>
  </si>
  <si>
    <t>，每星期不得超過二日之工作時間，請假期間之工資照給。</t>
  </si>
  <si>
    <t>雇主未依第一項規定期間預告而終止契約者，應給付預告期間之工資。</t>
  </si>
  <si>
    <t>雇主依前條終止勞動契約者，應依下列規定發給勞工資遣費：</t>
  </si>
  <si>
    <t>一、在同一雇主之事業單位繼續工作，每滿一年發給相當於一個月平均工</t>
  </si>
  <si>
    <t>資之資遣費。</t>
  </si>
  <si>
    <t>二、依前款計算之剩餘月數，或工作未滿一年者，以比例計給之。未滿一</t>
  </si>
  <si>
    <t>個月者以一個月計。</t>
  </si>
  <si>
    <t>前項所定資遣費，雇主應於終止勞動契約三十日內發給。</t>
  </si>
  <si>
    <t>有左列情形之一者，勞工不得向雇主請求加發預告期間工資及資遣費：</t>
  </si>
  <si>
    <t>一、依第十二條或第十五條規定終止勞動契約者。</t>
  </si>
  <si>
    <t>二、定期勞動契約期滿離職者。</t>
  </si>
  <si>
    <t>勞動契約終止時，勞工如請求發給服務證明書，雇主或其代理人不得拒絕</t>
  </si>
  <si>
    <t>事業單位改組或轉讓時，除新舊雇主商定留用之勞工外，其餘勞工應依第</t>
  </si>
  <si>
    <t>十六條規定期間預告終止契約，並應依第十七條規定發給勞工資遣費。其</t>
  </si>
  <si>
    <t>留用勞工之工作年資，應由新雇主繼續予以承認。</t>
  </si>
  <si>
    <t>工資由勞雇雙方議定之。但不得低於基本工資。</t>
  </si>
  <si>
    <t>前項基本工資，由中央主管機關設基本工資審議委員會擬訂後，報請行政</t>
  </si>
  <si>
    <t>院核定之。</t>
  </si>
  <si>
    <t>前項基本工資審議委員會之組織及其審議程序等事項，由中央主管機關另</t>
  </si>
  <si>
    <t>以辦法定之。</t>
  </si>
  <si>
    <t>工資之給付，應以法定通用貨幣為之。但基於習慣或業務性質，得於勞動</t>
  </si>
  <si>
    <t>契約內訂明一部以實物給付之。工資之一部以實物給付時，其實物之作價</t>
  </si>
  <si>
    <t>應公平合理，並適合勞工及其家屬之需要。</t>
  </si>
  <si>
    <t>工資應全額直接給付勞工。但法令另有規定或勞雇雙方另有約定者，不在</t>
  </si>
  <si>
    <t>此限。</t>
  </si>
  <si>
    <t>工資之給付，除當事人有特別約定或按月預付者外，每月至少定期發給二</t>
  </si>
  <si>
    <t>次，並應提供工資各項目計算方式明細；按件計酬者亦同。</t>
  </si>
  <si>
    <t>雇主應置備勞工工資清冊，將發放工資、工資各項目計算方式明細、工資</t>
  </si>
  <si>
    <t>總額等事項記入。工資清冊應保存五年。</t>
  </si>
  <si>
    <t>雇主延長勞工工作時間者，其延長工作時間之工資，依下列標準加給：</t>
  </si>
  <si>
    <t>一、延長工作時間在二小時以內者，按平日每小時工資額加給三分之一以</t>
  </si>
  <si>
    <t>上。</t>
  </si>
  <si>
    <t>二、再延長工作時間在二小時以內者，按平日每小時工資額加給三分之二</t>
  </si>
  <si>
    <t>以上。</t>
  </si>
  <si>
    <t>三、依第三十二條第四項規定，延長工作時間者，按平日每小時工資額加</t>
  </si>
  <si>
    <t>倍發給。</t>
  </si>
  <si>
    <t>雇主使勞工於第三十六條所定休息日工作，工作時間在二小時以內者，其</t>
  </si>
  <si>
    <t>工資按平日每小時工資額另再加給一又三分之一以上；工作二小時後再繼</t>
  </si>
  <si>
    <t>續工作者，按平日每小時工資額另再加給一又三分之二以上。</t>
  </si>
  <si>
    <t>雇主對勞工不得因性別而有差別之待遇。工作相同、效率相同者，給付同</t>
  </si>
  <si>
    <t>等之工資。</t>
  </si>
  <si>
    <t>雇主不得預扣勞工工資作為違約金或賠償費用。</t>
  </si>
  <si>
    <t>雇主不按期給付工資者，主管機關得限期令其給付。</t>
  </si>
  <si>
    <t>雇主有歇業、清算或宣告破產之情事時，勞工之下列債權受償順序與第一</t>
  </si>
  <si>
    <t>順位抵押權、質權或留置權所擔保之債權相同，按其債權比例受清償；未</t>
  </si>
  <si>
    <t>獲清償部分，有最優先受清償之權：</t>
  </si>
  <si>
    <t>一、本於勞動契約所積欠之工資未滿六個月部分。</t>
  </si>
  <si>
    <t>二、雇主未依本法給付之退休金。</t>
  </si>
  <si>
    <t>三、雇主未依本法或勞工退休金條例給付之資遣費。</t>
  </si>
  <si>
    <t>雇主應按其當月僱用勞工投保薪資總額及規定之費率，繳納一定數額之積</t>
  </si>
  <si>
    <t>欠工資墊償基金，作為墊償下列各款之用：</t>
  </si>
  <si>
    <t>一、前項第一款積欠之工資數額。</t>
  </si>
  <si>
    <t>二、前項第二款與第三款積欠之退休金及資遣費，其合計數額以六個月平</t>
  </si>
  <si>
    <t>均工資為限。</t>
  </si>
  <si>
    <t>積欠工資墊償基金，累積至一定金額後，應降低費率或暫停收繳。</t>
  </si>
  <si>
    <t>第二項費率，由中央主管機關於萬分之十五範圍內擬訂，報請行政院核定</t>
  </si>
  <si>
    <t>之。</t>
  </si>
  <si>
    <t>雇主積欠之工資、退休金及資遣費，經勞工請求未獲清償者，由積欠工資</t>
  </si>
  <si>
    <t>墊償基金依第二項規定墊償之；雇主應於規定期限內，將墊款償還積欠工</t>
  </si>
  <si>
    <t>資墊償基金。</t>
  </si>
  <si>
    <t>積欠工資墊償基金，由中央主管機關設管理委員會管理之。基金之收繳有</t>
  </si>
  <si>
    <t>關業務，得由中央主管機關，委託勞工保險機構辦理之。基金墊償程序、</t>
  </si>
  <si>
    <t>收繳與管理辦法、第三項之一定金額及管理委員會組織規程，由中央主管</t>
  </si>
  <si>
    <t>機關定之。</t>
  </si>
  <si>
    <t>事業單位於營業年度終了結算，如有盈餘，除繳納稅捐、彌補虧損及提列</t>
  </si>
  <si>
    <t>股息、公積金外，對於全年工作並無過失之勞工，應給與獎金或分配紅利</t>
  </si>
  <si>
    <t>勞工正常工作時間，每日不得超過八小時，每週不得超過四十小時。</t>
  </si>
  <si>
    <t>前項正常工作時間，雇主經工會同意，如事業單位無工會者，經勞資會議</t>
  </si>
  <si>
    <t>同意後，得將其二週內二日之正常工作時數，分配於其他工作日。其分配</t>
  </si>
  <si>
    <t>於其他工作日之時數，每日不得超過二小時。但每週工作總時數不得超過</t>
  </si>
  <si>
    <t>四十八小時。</t>
  </si>
  <si>
    <t>第一項正常工作時間，雇主經工會同意，如事業單位無工會者，經勞資會</t>
  </si>
  <si>
    <t>議同意後，得將八週內之正常工作時數加以分配。但每日正常工作時間不</t>
  </si>
  <si>
    <t>得超過八小時，每週工作總時數不得超過四十八小時。</t>
  </si>
  <si>
    <t>前二項規定，僅適用於經中央主管機關指定之行業。</t>
  </si>
  <si>
    <t>雇主應置備勞工出勤紀錄，並保存五年。</t>
  </si>
  <si>
    <t>前項出勤紀錄，應逐日記載勞工出勤情形至分鐘為止。勞工向雇主申請其</t>
  </si>
  <si>
    <t>出勤紀錄副本或影本時，雇主不得拒絕。</t>
  </si>
  <si>
    <t>雇主不得以第一項正常工作時間之修正，作為減少勞工工資之事由。</t>
  </si>
  <si>
    <t>第一項至第三項及第三十條之一之正常工作時間，雇主得視勞工照顧家庭</t>
  </si>
  <si>
    <t>成員需要，允許勞工於不變更每日正常工作時數下，在一小時範圍內，彈</t>
  </si>
  <si>
    <t>性調整工作開始及終止之時間。</t>
  </si>
  <si>
    <t>第 30-1 條</t>
  </si>
  <si>
    <t>中央主管機關指定之行業，雇主經工會同意，如事業單位無工會者，經勞</t>
  </si>
  <si>
    <t>資會議同意後，其工作時間得依下列原則變更：</t>
  </si>
  <si>
    <t>一、四週內正常工作時數分配於其他工作日之時數，每日不得超過二小時</t>
  </si>
  <si>
    <t>，不受前條第二項至第四項規定之限制。</t>
  </si>
  <si>
    <t>二、當日正常工作時間達十小時者，其延長之工作時間不得超過二小時。</t>
  </si>
  <si>
    <t>三、女性勞工，除妊娠或哺乳期間者外，於夜間工作，不受第四十九條第</t>
  </si>
  <si>
    <t>一項之限制。但雇主應提供必要之安全衛生設施。</t>
  </si>
  <si>
    <t>依中華民國八十五年十二月二十七日修正施行前第三條規定適用本法之行</t>
  </si>
  <si>
    <t>業，除第一項第一款之農、林、漁、牧業外，均不適用前項規定。</t>
  </si>
  <si>
    <t>在坑道或隧道內工作之勞工，以入坑口時起至出坑口時止為工作時間。</t>
  </si>
  <si>
    <t>雇主有使勞工在正常工作時間以外工作之必要者，雇主經工會同意，如事</t>
  </si>
  <si>
    <t>業單位無工會者，經勞資會議同意後，得將工作時間延長之。</t>
  </si>
  <si>
    <t>前項雇主延長勞工之工作時間連同正常工作時間，一日不得超過十二小時</t>
  </si>
  <si>
    <t>；延長之工作時間，一個月不得超過四十六小時，但雇主經工會同意，如</t>
  </si>
  <si>
    <t>事業單位無工會者，經勞資會議同意後，延長之工作時間，一個月不得超</t>
  </si>
  <si>
    <t>過五十四小時，每三個月不得超過一百三十八小時。</t>
  </si>
  <si>
    <t>雇主僱用勞工人數在三十人以上，依前項但書規定延長勞工工作時間者，</t>
  </si>
  <si>
    <t>應報當地主管機關備查。</t>
  </si>
  <si>
    <t>因天災、事變或突發事件，雇主有使勞工在正常工作時間以外工作之必要</t>
  </si>
  <si>
    <t>者，得將工作時間延長之。但應於延長開始後二十四小時內通知工會；無</t>
  </si>
  <si>
    <t>工會組織者，應報當地主管機關備查。延長之工作時間，雇主應於事後補</t>
  </si>
  <si>
    <t>給勞工以適當之休息。</t>
  </si>
  <si>
    <t>在坑內工作之勞工，其工作時間不得延長。但以監視為主之工作，或有前</t>
  </si>
  <si>
    <t>項所定之情形者，不在此限。</t>
  </si>
  <si>
    <t>第 32-1 條</t>
  </si>
  <si>
    <t>雇主依第三十二條第一項及第二項規定使勞工延長工作時間，或使勞工於</t>
  </si>
  <si>
    <t>第三十六條所定休息日工作後，依勞工意願選擇補休並經雇主同意者，應</t>
  </si>
  <si>
    <t>依勞工工作之時數計算補休時數。</t>
  </si>
  <si>
    <t>前項之補休，其補休期限由勞雇雙方協商；補休期限屆期或契約終止未補</t>
  </si>
  <si>
    <t>休之時數，應依延長工作時間或休息日工作當日之工資計算標準發給工資</t>
  </si>
  <si>
    <t>；未發給工資者，依違反第二十四條規定論處。</t>
  </si>
  <si>
    <t>第三條所列事業，除製造業及礦業外，因公眾之生活便利或其他特殊原因</t>
  </si>
  <si>
    <t>，有調整第三十條、第三十二條所定之正常工作時間及延長工作時間之必</t>
  </si>
  <si>
    <t>要者，得由當地主管機關會商目的事業主管機關及工會，就必要之限度內</t>
  </si>
  <si>
    <t>以命令調整之。</t>
  </si>
  <si>
    <t>勞工工作採輪班制者，其工作班次，每週更換一次。但經勞工同意者不在</t>
  </si>
  <si>
    <t>依前項更換班次時，至少應有連續十一小時之休息時間。但因工作特性或</t>
  </si>
  <si>
    <t>特殊原因，經中央目的事業主管機關商請中央主管機關公告者，得變更休</t>
  </si>
  <si>
    <t>息時間不少於連續八小時。</t>
  </si>
  <si>
    <t>雇主依前項但書規定變更休息時間者，應經工會同意，如事業單位無工會</t>
  </si>
  <si>
    <t>者，經勞資會議同意後，始得為之。雇主僱用勞工人數在三十人以上者，</t>
  </si>
  <si>
    <t>勞工繼續工作四小時，至少應有三十分鐘之休息。但實行輪班制或其工作</t>
  </si>
  <si>
    <t>有連續性或緊急性者，雇主得在工作時間內，另行調配其休息時間。</t>
  </si>
  <si>
    <t>勞工每七日中應有二日之休息，其中一日為例假，一日為休息日。</t>
  </si>
  <si>
    <t>雇主有下列情形之一，不受前項規定之限制：</t>
  </si>
  <si>
    <t>一、依第三十條第二項規定變更正常工作時間者，勞工每七日中至少應有</t>
  </si>
  <si>
    <t>一日之例假，每二週內之例假及休息日至少應有四日。</t>
  </si>
  <si>
    <t>二、依第三十條第三項規定變更正常工作時間者，勞工每七日中至少應有</t>
  </si>
  <si>
    <t>一日之例假，每八週內之例假及休息日至少應有十六日。</t>
  </si>
  <si>
    <t>三、依第三十條之一規定變更正常工作時間者，勞工每二週內至少應有二</t>
  </si>
  <si>
    <t>日之例假，每四週內之例假及休息日至少應有八日。</t>
  </si>
  <si>
    <t>雇主使勞工於休息日工作之時間，計入第三十二條第二項所定延長工作時</t>
  </si>
  <si>
    <t>間總數。但因天災、事變或突發事件，雇主有使勞工於休息日工作之必要</t>
  </si>
  <si>
    <t>者，其工作時數不受第三十二條第二項規定之限制。</t>
  </si>
  <si>
    <t>經中央目的事業主管機關同意，且經中央主管機關指定之行業，雇主得將</t>
  </si>
  <si>
    <t>第一項、第二項第一款及第二款所定之例假，於每七日之週期內調整之。</t>
  </si>
  <si>
    <t>前項所定例假之調整，應經工會同意，如事業單位無工會者，經勞資會議</t>
  </si>
  <si>
    <t>同意後，始得為之。雇主僱用勞工人數在三十人以上者，應報當地主管機</t>
  </si>
  <si>
    <t>關備查。</t>
  </si>
  <si>
    <t>內政部所定應放假之紀念日、節日、勞動節及其他中央主管機關指定應放</t>
  </si>
  <si>
    <t>假日，均應休假。</t>
  </si>
  <si>
    <t>中華民國一百零五年十二月六日修正之前項規定，自一百零六年一月一日</t>
  </si>
  <si>
    <t>施行。</t>
  </si>
  <si>
    <t>勞工在同一雇主或事業單位，繼續工作滿一定期間者，應依下列規定給予</t>
  </si>
  <si>
    <t>特別休假：</t>
  </si>
  <si>
    <t>一、六個月以上一年未滿者，三日。</t>
  </si>
  <si>
    <t>二、一年以上二年未滿者，七日。</t>
  </si>
  <si>
    <t>三、二年以上三年未滿者，十日。</t>
  </si>
  <si>
    <t>四、三年以上五年未滿者，每年十四日。</t>
  </si>
  <si>
    <t>五、五年以上十年未滿者，每年十五日。</t>
  </si>
  <si>
    <t>六、十年以上者，每一年加給一日，加至三十日為止。</t>
  </si>
  <si>
    <t>前項之特別休假期日，由勞工排定之。但雇主基於企業經營上之急迫需求</t>
  </si>
  <si>
    <t>或勞工因個人因素，得與他方協商調整。</t>
  </si>
  <si>
    <t>雇主應於勞工符合第一項所定之特別休假條件時，告知勞工依前二項規定</t>
  </si>
  <si>
    <t>排定特別休假。</t>
  </si>
  <si>
    <t>雇主應將勞工每年特別休假之期日及未休之日數所發給之工資數額，記載</t>
  </si>
  <si>
    <t>於第二十三條所定之勞工工資清冊，並每年定期將其內容以書面通知勞工</t>
  </si>
  <si>
    <t>勞工依本條主張權利時，雇主如認為其權利不存在，應負舉證責任。</t>
  </si>
  <si>
    <t>第三十六條所定之例假、休息日、第三十七條所定之休假及第三十八條所</t>
  </si>
  <si>
    <t>定之特別休假，工資應由雇主照給。雇主經徵得勞工同意於休假日工作者</t>
  </si>
  <si>
    <t>，工資應加倍發給。因季節性關係有趕工必要，經勞工或工會同意照常工</t>
  </si>
  <si>
    <t>作者，亦同。</t>
  </si>
  <si>
    <t>因天災、事變或突發事件，雇主認有繼續工作之必要時，得停止第三十六</t>
  </si>
  <si>
    <t>條至第三十八條所定勞工之假期。但停止假期之工資，應加倍發給，並應</t>
  </si>
  <si>
    <t>於事後補假休息。</t>
  </si>
  <si>
    <t>前項停止勞工假期，應於事後二十四小時內，詳述理由，報請當地主管機</t>
  </si>
  <si>
    <t>關核備。</t>
  </si>
  <si>
    <t>公用事業之勞工，當地主管機關認有必要時，得停止第三十八條所定之特</t>
  </si>
  <si>
    <t>別休假。假期內之工資應由雇主加倍發給。</t>
  </si>
  <si>
    <t>勞工因健康或其他正當理由，不能接受正常工作時間以外之工作者，雇主</t>
  </si>
  <si>
    <t>不得強制其工作。</t>
  </si>
  <si>
    <t>勞工因婚、喪、疾病或其他正當事由得請假；請假應給之假期及事假以外</t>
  </si>
  <si>
    <t>期間內工資給付之最低標準，由中央主管機關定之。</t>
  </si>
  <si>
    <t>十五歲以上未滿十六歲之受僱從事工作者，為童工。</t>
  </si>
  <si>
    <t>童工及十六歲以上未滿十八歲之人，不得從事危險性或有害性之工作。</t>
  </si>
  <si>
    <t>雇主不得僱用未滿十五歲之人從事工作。但國民中學畢業或經主管機關認</t>
  </si>
  <si>
    <t>定其工作性質及環境無礙其身心健康而許可者，不在此限。</t>
  </si>
  <si>
    <t>前項受僱之人，準用童工保護之規定。</t>
  </si>
  <si>
    <t>第一項工作性質及環境無礙其身心健康之認定基準、審查程序及其他應遵</t>
  </si>
  <si>
    <t>行事項之辦法，由中央主管機關依勞工年齡、工作性質及受國民義務教育</t>
  </si>
  <si>
    <t>之時間等因素定之。</t>
  </si>
  <si>
    <t>未滿十五歲之人透過他人取得工作為第三人提供勞務，或直接為他人提供</t>
  </si>
  <si>
    <t>勞務取得報酬未具勞僱關係者，準用前項及童工保護之規定。</t>
  </si>
  <si>
    <t>未滿十八歲之人受僱從事工作者，雇主應置備其法定代理人同意書及其年</t>
  </si>
  <si>
    <t>齡證明文件。</t>
  </si>
  <si>
    <t>童工每日之工作時間不得超過八小時，每週之工作時間不得超過四十小時</t>
  </si>
  <si>
    <t>，例假日不得工作。</t>
  </si>
  <si>
    <t>童工不得於午後八時至翌晨六時之時間內工作。</t>
  </si>
  <si>
    <t>雇主不得使女工於午後十時至翌晨六時之時間內工作。但雇主經工會同意</t>
  </si>
  <si>
    <t>，如事業單位無工會者，經勞資會議同意後，且符合下列各款規定者，不</t>
  </si>
  <si>
    <t>在此限：</t>
  </si>
  <si>
    <t>一、提供必要之安全衛生設施。</t>
  </si>
  <si>
    <t>二、無大眾運輸工具可資運用時，提供交通工具或安排女工宿舍。</t>
  </si>
  <si>
    <t>前項第一款所稱必要之安全衛生設施，其標準由中央主管機關定之。但雇</t>
  </si>
  <si>
    <t>主與勞工約定之安全衛生設施優於本法者，從其約定。</t>
  </si>
  <si>
    <t>女工因健康或其他正當理由，不能於午後十時至翌晨六時之時間內工作者</t>
  </si>
  <si>
    <t>，雇主不得強制其工作。</t>
  </si>
  <si>
    <t>第一項規定，於因天災、事變或突發事件，雇主必須使女工於午後十時至</t>
  </si>
  <si>
    <t>翌晨六時之時間內工作時，不適用之。</t>
  </si>
  <si>
    <t>第一項但書及前項規定，於妊娠或哺乳期間之女工，不適用之。</t>
  </si>
  <si>
    <t>女工分娩前後，應停止工作，給予產假八星期；妊娠三個月以上流產者，</t>
  </si>
  <si>
    <t>應停止工作，給予產假四星期。</t>
  </si>
  <si>
    <t>前項女工受僱工作在六個月以上者，停止工作期間工資照給；未滿六個月</t>
  </si>
  <si>
    <t>者減半發給。</t>
  </si>
  <si>
    <t>女工在妊娠期間，如有較為輕易之工作，得申請改調，雇主不得拒絕，並</t>
  </si>
  <si>
    <t>不得減少其工資。</t>
  </si>
  <si>
    <t>第 52 條</t>
  </si>
  <si>
    <t>子女未滿一歲須女工親自哺乳者，於第三十五條規定之休息時間外，雇主</t>
  </si>
  <si>
    <t>應每日另給哺乳時間二次，每次以三十分鐘為度。</t>
  </si>
  <si>
    <t>前項哺乳時間，視為工作時間。</t>
  </si>
  <si>
    <t>第 53 條</t>
  </si>
  <si>
    <t>勞工有下列情形之一，得自請退休：</t>
  </si>
  <si>
    <t>一、工作十五年以上年滿五十五歲者。</t>
  </si>
  <si>
    <t>二、工作二十五年以上者。</t>
  </si>
  <si>
    <t>三、工作十年以上年滿六十歲者。</t>
  </si>
  <si>
    <t>第 54 條</t>
  </si>
  <si>
    <t>勞工非有下列情形之一，雇主不得強制其退休：</t>
  </si>
  <si>
    <t>一、年滿六十五歲者。</t>
  </si>
  <si>
    <t>二、身心障礙不堪勝任工作者。</t>
  </si>
  <si>
    <t>前項第一款所規定之年齡，對於擔任具有危險、堅強體力等特殊性質之工</t>
  </si>
  <si>
    <t>作者，得由事業單位報請中央主管機關予以調整。但不得少於五十五歲。</t>
  </si>
  <si>
    <t>第 55 條</t>
  </si>
  <si>
    <t>勞工退休金之給與標準如下：</t>
  </si>
  <si>
    <t>一、按其工作年資，每滿一年給與兩個基數。但超過十五年之工作年資，</t>
  </si>
  <si>
    <t>每滿一年給與一個基數，最高總數以四十五個基數為限。未滿半年者</t>
  </si>
  <si>
    <t>以半年計；滿半年者以一年計。</t>
  </si>
  <si>
    <t>二、依第五十四條第一項第二款規定，強制退休之勞工，其身心障礙係因</t>
  </si>
  <si>
    <t>執行職務所致者，依前款規定加給百分之二十。</t>
  </si>
  <si>
    <t>前項第一款退休金基數之標準，係指核准退休時一個月平均工資。</t>
  </si>
  <si>
    <t>第一項所定退休金，雇主應於勞工退休之日起三十日內給付，如無法一次</t>
  </si>
  <si>
    <t>發給時，得報經主管機關核定後，分期給付。本法施行前，事業單位原定</t>
  </si>
  <si>
    <t>退休標準優於本法者，從其規定。</t>
  </si>
  <si>
    <t>第 56 條</t>
  </si>
  <si>
    <t>雇主應依勞工每月薪資總額百分之二至百分之十五範圍內，按月提撥勞工</t>
  </si>
  <si>
    <t>退休準備金，專戶存儲，並不得作為讓與、扣押、抵銷或擔保之標的；其</t>
  </si>
  <si>
    <t>提撥之比率、程序及管理等事項之辦法，由中央主管機關擬訂，報請行政</t>
  </si>
  <si>
    <t>雇主應於每年年度終了前，估算前項勞工退休準備金專戶餘額，該餘額不</t>
  </si>
  <si>
    <t>足給付次一年度內預估成就第五十三條或第五十四條第一項第一款退休條</t>
  </si>
  <si>
    <t>件之勞工，依前條計算之退休金數額者，雇主應於次年度三月底前一次提</t>
  </si>
  <si>
    <t>撥其差額，並送事業單位勞工退休準備金監督委員會審議。</t>
  </si>
  <si>
    <t>第一項雇主按月提撥之勞工退休準備金匯集為勞工退休基金，由中央主管</t>
  </si>
  <si>
    <t>機關設勞工退休基金監理委員會管理之；其組織、會議及其他相關事項，</t>
  </si>
  <si>
    <t>前項基金之收支、保管及運用，由中央主管機關會同財政部委託金融機構</t>
  </si>
  <si>
    <t>辦理。最低收益不得低於當地銀行二年定期存款利率之收益；如有虧損，</t>
  </si>
  <si>
    <t>由國庫補足之。基金之收支、保管及運用辦法，由中央主管機關擬訂，報</t>
  </si>
  <si>
    <t>請行政院核定之。</t>
  </si>
  <si>
    <t>雇主所提撥勞工退休準備金，應由勞工與雇主共同組織勞工退休準備金監</t>
  </si>
  <si>
    <t>督委員會監督之。委員會中勞工代表人數不得少於三分之二；其組織準則</t>
  </si>
  <si>
    <t>，由中央主管機關定之。</t>
  </si>
  <si>
    <t>雇主按月提撥之勞工退休準備金比率之擬訂或調整，應經事業單位勞工退</t>
  </si>
  <si>
    <t>休準備金監督委員會審議通過，並報請當地主管機關核定。</t>
  </si>
  <si>
    <t>金融機構辦理核貸業務，需查核該事業單位勞工退休準備金提撥狀況之必</t>
  </si>
  <si>
    <t>要資料時，得請當地主管機關提供。</t>
  </si>
  <si>
    <t>金融機構依前項取得之資料，應負保密義務，並確實辦理資料安全稽核作</t>
  </si>
  <si>
    <t>業。</t>
  </si>
  <si>
    <t>前二項有關勞工退休準備金必要資料之內容、範圍、申請程序及其他應遵</t>
  </si>
  <si>
    <t>行事項之辦法，由中央主管機關會商金融監督管理委員會定之。</t>
  </si>
  <si>
    <t>第 57 條</t>
  </si>
  <si>
    <t>勞工工作年資以服務同一事業者為限。但受同一雇主調動之工作年資，及</t>
  </si>
  <si>
    <t>依第二十條規定應由新雇主繼續予以承認之年資，應予併計。</t>
  </si>
  <si>
    <t>第 58 條</t>
  </si>
  <si>
    <t>勞工請領退休金之權利，自退休之次月起，因五年間不行使而消滅。</t>
  </si>
  <si>
    <t>勞工請領退休金之權利，不得讓與、抵銷、扣押或供擔保。</t>
  </si>
  <si>
    <t>勞工依本法規定請領勞工退休金者，得檢具證明文件，於金融機構開立專</t>
  </si>
  <si>
    <t>戶，專供存入勞工退休金之用。</t>
  </si>
  <si>
    <t>前項專戶內之存款，不得作為抵銷、扣押、供擔保或強制執行之標的。</t>
  </si>
  <si>
    <t>第 59 條</t>
  </si>
  <si>
    <t>勞工因遭遇職業災害而致死亡、失能、傷害或疾病時，雇主應依下列規定</t>
  </si>
  <si>
    <t>予以補償。但如同一事故，依勞工保險條例或其他法令規定，已由雇主支</t>
  </si>
  <si>
    <t>付費用補償者，雇主得予以抵充之：</t>
  </si>
  <si>
    <t>一、勞工受傷或罹患職業病時，雇主應補償其必需之醫療費用。職業病之</t>
  </si>
  <si>
    <t>種類及其醫療範圍，依勞工保險條例有關之規定。</t>
  </si>
  <si>
    <t>二、勞工在醫療中不能工作時，雇主應按其原領工資數額予以補償。但醫</t>
  </si>
  <si>
    <t>療期間屆滿二年仍未能痊癒，經指定之醫院診斷，審定為喪失原有工</t>
  </si>
  <si>
    <t>作能力，且不合第三款之失能給付標準者，雇主得一次給付四十個月</t>
  </si>
  <si>
    <t>之平均工資後，免除此項工資補償責任。</t>
  </si>
  <si>
    <t>三、勞工經治療終止後，經指定之醫院診斷，審定其遺存障害者，雇主應</t>
  </si>
  <si>
    <t>按其平均工資及其失能程度，一次給予失能補償。失能補償標準，依</t>
  </si>
  <si>
    <t>勞工保險條例有關之規定。</t>
  </si>
  <si>
    <t>四、勞工遭遇職業傷害或罹患職業病而死亡時，雇主除給與五個月平均工</t>
  </si>
  <si>
    <t>資之喪葬費外，並應一次給與其遺屬四十個月平均工資之死亡補償。</t>
  </si>
  <si>
    <t>其遺屬受領死亡補償之順位如下：</t>
  </si>
  <si>
    <t>（一）配偶及子女。</t>
  </si>
  <si>
    <t>（二）父母。</t>
  </si>
  <si>
    <t>（三）祖父母。</t>
  </si>
  <si>
    <t>（四）孫子女。</t>
  </si>
  <si>
    <t>（五）兄弟姐妹。</t>
  </si>
  <si>
    <t>第 60 條</t>
  </si>
  <si>
    <t>雇主依前條規定給付之補償金額，得抵充就同一事故所生損害之賠償金額</t>
  </si>
  <si>
    <t>第 61 條</t>
  </si>
  <si>
    <t>第五十九條之受領補償權，自得受領之日起，因二年間不行使而消滅。</t>
  </si>
  <si>
    <t>受領補償之權利，不因勞工之離職而受影響，且不得讓與、抵銷、扣押或</t>
  </si>
  <si>
    <t>供擔保。</t>
  </si>
  <si>
    <t>勞工或其遺屬依本法規定受領職業災害補償金者，得檢具證明文件，於金</t>
  </si>
  <si>
    <t>融機構開立專戶，專供存入職業災害補償金之用。</t>
  </si>
  <si>
    <t>第 62 條</t>
  </si>
  <si>
    <t>事業單位以其事業招人承攬，如有再承攬時，承攬人或中間承攬人，就各</t>
  </si>
  <si>
    <t>該承攬部分所使用之勞工，均應與最後承攬人，連帶負本章所定雇主應負</t>
  </si>
  <si>
    <t>職業災害補償之責任。</t>
  </si>
  <si>
    <t>事業單位或承攬人或中間承攬人，為前項之災害補償時，就其所補償之部</t>
  </si>
  <si>
    <t>分，得向最後承攬人求償。</t>
  </si>
  <si>
    <t>第 63 條</t>
  </si>
  <si>
    <t>承攬人或再承攬人工作場所，在原事業單位工作場所範圍內，或為原事業</t>
  </si>
  <si>
    <t>單位提供者，原事業單位應督促承攬人或再承攬人，對其所僱用勞工之勞</t>
  </si>
  <si>
    <t>動條件應符合有關法令之規定。</t>
  </si>
  <si>
    <t>事業單位違背勞工安全衛生法有關對於承攬人、再承攬人應負責任之規定</t>
  </si>
  <si>
    <t>，致承攬人或再承攬人所僱用之勞工發生職業災害時，應與該承攬人、再</t>
  </si>
  <si>
    <t>承攬人負連帶補償責任。</t>
  </si>
  <si>
    <t>第 64 條</t>
  </si>
  <si>
    <t>雇主不得招收未滿十五歲之人為技術生。但國民中學畢業者，不在此限。</t>
  </si>
  <si>
    <t>稱技術生者，指依中央主管機關規定之技術生訓練職類中以學習技能為目</t>
  </si>
  <si>
    <t>的，依本章之規定而接受雇主訓練之人。</t>
  </si>
  <si>
    <t>本章規定，於事業單位之養成工、見習生、建教合作班之學生及其他與技</t>
  </si>
  <si>
    <t>術生性質相類之人，準用之。</t>
  </si>
  <si>
    <t>第 65 條</t>
  </si>
  <si>
    <t>雇主招收技術生時，須與技術生簽訂書面訓練契約一式三份，訂明訓練項</t>
  </si>
  <si>
    <t>目、訓練期限、膳宿負擔、生活津貼、相關教學、勞工保險、結業證明、</t>
  </si>
  <si>
    <t>契約生效與解除之條件及其他有關雙方權利、義務事項，由當事人分執，</t>
  </si>
  <si>
    <t>並送主管機關備案。</t>
  </si>
  <si>
    <t>前項技術生如為未成年人，其訓練契約，應得法定代理人之允許。</t>
  </si>
  <si>
    <t>第 66 條</t>
  </si>
  <si>
    <t>雇主不得向技術生收取有關訓練費用。</t>
  </si>
  <si>
    <t>第 67 條</t>
  </si>
  <si>
    <t>技術生訓練期滿，雇主得留用之，並應與同等工作之勞工享受同等之待遇</t>
  </si>
  <si>
    <t>。雇主如於技術生訓練契約內訂明留用期間，應不得超過其訓練期間。</t>
  </si>
  <si>
    <t>第 68 條</t>
  </si>
  <si>
    <t>技術生人數，不得超過勞工人數四分之一。勞工人數不滿四人者，以四人</t>
  </si>
  <si>
    <t>計。</t>
  </si>
  <si>
    <t>第 69 條</t>
  </si>
  <si>
    <t>本法第四章工作時間、休息、休假，第五章童工、女工，第七章災害補償</t>
  </si>
  <si>
    <t>及其他勞工保險等有關規定，於技術生準用之。</t>
  </si>
  <si>
    <t>技術生災害補償所採薪資計算之標準，不得低於基本工資。</t>
  </si>
  <si>
    <t>第 70 條</t>
  </si>
  <si>
    <t>雇主僱用勞工人數在三十人以上者，應依其事業性質，就左列事項訂立工</t>
  </si>
  <si>
    <t>作規則，報請主管機關核備後並公開揭示之：</t>
  </si>
  <si>
    <t>一、工作時間、休息、休假、國定紀念日、特別休假及繼續性工作之輪班</t>
  </si>
  <si>
    <t>方法。</t>
  </si>
  <si>
    <t>二、工資之標準、計算方法及發放日期。</t>
  </si>
  <si>
    <t>三、延長工作時間。</t>
  </si>
  <si>
    <t>四、津貼及獎金。</t>
  </si>
  <si>
    <t>五、應遵守之紀律。</t>
  </si>
  <si>
    <t>六、考勤、請假、獎懲及升遷。</t>
  </si>
  <si>
    <t>七、受僱、解僱、資遣、離職及退休。</t>
  </si>
  <si>
    <t>八、災害傷病補償及撫卹。</t>
  </si>
  <si>
    <t>九、福利措施。</t>
  </si>
  <si>
    <t>十、勞雇雙方應遵守勞工安全衛生規定。</t>
  </si>
  <si>
    <t>十一、勞雇雙方溝通意見加強合作之方法。</t>
  </si>
  <si>
    <t>十二、其他。</t>
  </si>
  <si>
    <t>第 71 條</t>
  </si>
  <si>
    <t>工作規則，違反法令之強制或禁止規定或其他有關該事業適用之團體協約</t>
  </si>
  <si>
    <t>規定者，無效。</t>
  </si>
  <si>
    <t>第 十 章 監督與檢查</t>
  </si>
  <si>
    <t>第 72 條</t>
  </si>
  <si>
    <t>中央主管機關，為貫徹本法及其他勞工法令之執行，設勞工檢查機構或授</t>
  </si>
  <si>
    <t>權直轄市主管機關專設檢查機構辦理之；直轄市、縣（市）主管機關於必</t>
  </si>
  <si>
    <t>要時，亦得派員實施檢查。</t>
  </si>
  <si>
    <t>前項勞工檢查機構之組織，由中央主管機關定之。</t>
  </si>
  <si>
    <t>第 73 條</t>
  </si>
  <si>
    <t>檢查員執行職務，應出示檢查證，各事業單位不得拒絕。事業單位拒絕檢</t>
  </si>
  <si>
    <t>查時，檢查員得會同當地主管機關或警察機關強制檢查之。</t>
  </si>
  <si>
    <t>檢查員執行職務，得就本法規定事項，要求事業單位提出必要之報告、紀</t>
  </si>
  <si>
    <t>錄、帳冊及有關文件或書面說明。如需抽取物料、樣品或資料時，應事先</t>
  </si>
  <si>
    <t>通知雇主或其代理人並掣給收據。</t>
  </si>
  <si>
    <t>第 74 條</t>
  </si>
  <si>
    <t>勞工發現事業單位違反本法及其他勞工法令規定時，得向雇主、主管機關</t>
  </si>
  <si>
    <t>或檢查機構申訴。</t>
  </si>
  <si>
    <t>雇主不得因勞工為前項申訴，而予以解僱、降調、減薪、損害其依法令、</t>
  </si>
  <si>
    <t>契約或習慣上所應享有之權益，或其他不利之處分。</t>
  </si>
  <si>
    <t>雇主為前項行為之一者，無效。</t>
  </si>
  <si>
    <t>主管機關或檢查機構於接獲第一項申訴後，應為必要之調查，並於六十日</t>
  </si>
  <si>
    <t>內將處理情形，以書面通知勞工。</t>
  </si>
  <si>
    <t>主管機關或檢查機構應對申訴人身分資料嚴守秘密，不得洩漏足以識別其</t>
  </si>
  <si>
    <t>身分之資訊。</t>
  </si>
  <si>
    <t>違反前項規定者，除公務員應依法追究刑事與行政責任外，對因此受有損</t>
  </si>
  <si>
    <t>害之勞工，應負損害賠償責任。</t>
  </si>
  <si>
    <t>主管機關受理檢舉案件之保密及其他應遵行事項之辦法，由中央主管機關</t>
  </si>
  <si>
    <t>定之。</t>
  </si>
  <si>
    <t>第 十一 章 罰則</t>
  </si>
  <si>
    <t>第 75 條</t>
  </si>
  <si>
    <t>違反第五條規定者，處五年以下有期徒刑、拘役或科或併科新臺幣七十五</t>
  </si>
  <si>
    <t>萬元以下罰金。</t>
  </si>
  <si>
    <t>第 76 條</t>
  </si>
  <si>
    <t>違反第六條規定者，處三年以下有期徒刑、拘役或科或併科新臺幣四十五</t>
  </si>
  <si>
    <t>第 77 條</t>
  </si>
  <si>
    <t>違反第四十二條、第四十四條第二項、第四十五條第一項、第四十七條、</t>
  </si>
  <si>
    <t>第四十八條、第四十九條第三項或第六十四條第一項規定者，處六個月以</t>
  </si>
  <si>
    <t>下有期徒刑、拘役或科或併科新臺幣三十萬元以下罰金。</t>
  </si>
  <si>
    <t>第 78 條</t>
  </si>
  <si>
    <t>未依第十七條、第五十五條規定之標準或期限給付者，處新臺幣三十萬元</t>
  </si>
  <si>
    <t>以上一百五十萬元以下罰鍰，並限期令其給付，屆期未給付者，應按次處</t>
  </si>
  <si>
    <t>罰。</t>
  </si>
  <si>
    <t>違反第十三條、第二十六條、第五十條、第五十一條或第五十六條第二項</t>
  </si>
  <si>
    <t>規定者，處新臺幣九萬元以上四十五萬元以下罰鍰。</t>
  </si>
  <si>
    <t>第 79 條</t>
  </si>
  <si>
    <t>有下列各款規定行為之一者，處新臺幣二萬元以上一百萬元以下罰鍰：</t>
  </si>
  <si>
    <t>一、違反第二十一條第一項、第二十二條至第二十五條、第三十條第一項</t>
  </si>
  <si>
    <t>至第三項、第六項、第七項、第三十二條、第三十四條至第四十一條</t>
  </si>
  <si>
    <t>、第四十九條第一項或第五十九條規定。</t>
  </si>
  <si>
    <t>二、違反主管機關依第二十七條限期給付工資或第三十三條調整工作時間</t>
  </si>
  <si>
    <t>之命令。</t>
  </si>
  <si>
    <t>三、違反中央主管機關依第四十三條所定假期或事假以外期間內工資給付</t>
  </si>
  <si>
    <t>之最低標準。</t>
  </si>
  <si>
    <t>違反第三十條第五項或第四十九條第五項規定者，處新臺幣九萬元以上四</t>
  </si>
  <si>
    <t>十五萬元以下罰鍰。</t>
  </si>
  <si>
    <t>違反第七條、第九條第一項、第十六條、第十九條、第二十八條第二項、</t>
  </si>
  <si>
    <t>第四十六條、第五十六條第一項、第六十五條第一項、第六十六條至第六</t>
  </si>
  <si>
    <t>十八條、第七十條或第七十四條第二項規定者，處新臺幣二萬元以上三十</t>
  </si>
  <si>
    <t>萬元以下罰鍰。</t>
  </si>
  <si>
    <t>有前三項規定行為之一者，主管機關得依事業規模、違反人數或違反情節</t>
  </si>
  <si>
    <t>，加重其罰鍰至法定罰鍰最高額二分之一。</t>
  </si>
  <si>
    <t>第 79-1 條</t>
  </si>
  <si>
    <t>違反第四十五條第二項、第四項、第六十四條第三項及第六十九條第一項</t>
  </si>
  <si>
    <t>準用規定之處罰，適用本法罰則章規定。</t>
  </si>
  <si>
    <t>第 80 條</t>
  </si>
  <si>
    <t>拒絕、規避或阻撓勞工檢查員依法執行職務者，處新臺幣三萬元以上十五</t>
  </si>
  <si>
    <t>第 80-1 條</t>
  </si>
  <si>
    <t>違反本法經主管機關處以罰鍰者，主管機關應公布其事業單位或事業主之</t>
  </si>
  <si>
    <t>名稱、負責人姓名，並限期令其改善；屆期未改善者，應按次處罰。</t>
  </si>
  <si>
    <t>主管機關裁處罰鍰，得審酌與違反行為有關之勞工人數、累計違法次數或</t>
  </si>
  <si>
    <t>未依法給付之金額，為量罰輕重之標準。</t>
  </si>
  <si>
    <t>第 81 條</t>
  </si>
  <si>
    <t>法人之代表人、法人或自然人之代理人、受僱人或其他從業人員，因執行</t>
  </si>
  <si>
    <t>業務違反本法規定，除依本章規定處罰行為人外，對該法人或自然人並應</t>
  </si>
  <si>
    <t>處以各該條所定之罰金或罰鍰。但法人之代表人或自然人對於違反之發生</t>
  </si>
  <si>
    <t>，已盡力為防止行為者，不在此限。</t>
  </si>
  <si>
    <t>法人之代表人或自然人教唆或縱容為違反之行為者，以行為人論。</t>
  </si>
  <si>
    <t>第 82 條</t>
  </si>
  <si>
    <t>本法所定之罰鍰，經主管機關催繳，仍不繳納時，得移送法院強制執行。</t>
  </si>
  <si>
    <t>第 十二 章 附則</t>
  </si>
  <si>
    <t>第 83 條</t>
  </si>
  <si>
    <t>為協調勞資關係，促進勞資合作，提高工作效率，事業單位應舉辦勞資會</t>
  </si>
  <si>
    <t>議。其辦法由中央主管機關會同經濟部訂定，並報行政院核定。</t>
  </si>
  <si>
    <t>第 84 條</t>
  </si>
  <si>
    <t>公務員兼具勞工身分者，其有關任（派）免、薪資、獎懲、退休、撫卹及</t>
  </si>
  <si>
    <t>保險（含職業災害）等事項，應適用公務員法令之規定。但其他所定勞動</t>
  </si>
  <si>
    <t>條件優於本法規定者，從其規定。</t>
  </si>
  <si>
    <t>第 84-1 條</t>
  </si>
  <si>
    <t>經中央主管機關核定公告之下列工作者，得由勞雇雙方另行約定，工作時</t>
  </si>
  <si>
    <t>間、例假、休假、女性夜間工作，並報請當地主管機關核備，不受第三十</t>
  </si>
  <si>
    <t>一、監督、管理人員或責任制專業人員。</t>
  </si>
  <si>
    <t>二、監視性或間歇性之工作。</t>
  </si>
  <si>
    <t>三、其他性質特殊之工作。</t>
  </si>
  <si>
    <t>前項約定應以書面為之，並應參考本法所定之基準且不得損及勞工之健康</t>
  </si>
  <si>
    <t>及福祉。</t>
  </si>
  <si>
    <t>第 84-2 條</t>
  </si>
  <si>
    <t>勞工工作年資自受僱之日起算，適用本法前之工作年資，其資遣費及退休</t>
  </si>
  <si>
    <t>金給與標準，依其當時應適用之法令規定計算；當時無法令可資適用者，</t>
  </si>
  <si>
    <t>依各該事業單位自訂之規定或勞雇雙方之協商計算之。適用本法後之工作</t>
  </si>
  <si>
    <t>年資，其資遣費及退休金給與標準，依第十七條及第五十五條規定計算。</t>
  </si>
  <si>
    <t>第 85 條</t>
  </si>
  <si>
    <t>本法施行細則，由中央主管機關擬定，報請行政院核定。</t>
  </si>
  <si>
    <t>第 86 條</t>
  </si>
  <si>
    <t>本法自公布日施行。</t>
  </si>
  <si>
    <t>本法中華民國八十九年六月二十八日修正公布之第三十條第一項及第二項</t>
  </si>
  <si>
    <t>，自九十年一月一日施行；一百零四年二月四日修正公布之第二十八條第</t>
  </si>
  <si>
    <t>一項，自公布後八個月施行；一百零四年六月三日修正公布之條文，自一</t>
  </si>
  <si>
    <t>百零五年一月一日施行；一百零五年十二月二十一日修正公布之第三十四</t>
  </si>
  <si>
    <t>條第二項施行日期，由行政院定之、第三十七條及第三十八條，自一百零</t>
  </si>
  <si>
    <t>六年一月一日施行。</t>
  </si>
  <si>
    <t>本法中華民國一百零七年一月十日修正之條文，自一百零七年三月一日施</t>
  </si>
  <si>
    <t>行。</t>
  </si>
  <si>
    <t>法規名稱：勞動基準法施行細則 英</t>
  </si>
  <si>
    <t>修正日期：民國 108 年 02 月 14 日</t>
  </si>
  <si>
    <t>作者。</t>
  </si>
  <si>
    <t>五、依勞工請假規則請普通傷病假者。</t>
  </si>
  <si>
    <t>六、依性別工作平等法請生理假、產假、家庭照顧假或安胎休養，致減少</t>
  </si>
  <si>
    <t>工資者。</t>
  </si>
  <si>
    <t>內者。</t>
  </si>
  <si>
    <t>性工作，其工作期間在九個月以內者。</t>
  </si>
  <si>
    <t>過一年者，應報請主管機關核備。</t>
  </si>
  <si>
    <t>班制之換班。</t>
  </si>
  <si>
    <t>週期，且最長不得逾二年。</t>
  </si>
  <si>
    <t>同或類似。</t>
  </si>
  <si>
    <t>類似，且有競爭關係者為限。</t>
  </si>
  <si>
    <t>象之範疇所受損失相當。</t>
  </si>
  <si>
    <t>獎金、節約燃料物料獎金及其他非經常性獎金。</t>
  </si>
  <si>
    <t>雇主有下列情形之一者，應即公告周知：</t>
  </si>
  <si>
    <t>更勞工正常工作時間。</t>
  </si>
  <si>
    <t>四項規定延長勞工工作時間。</t>
  </si>
  <si>
    <t>依本法第三十條第二項、第三項或第三十條之一第一項第一款變更工</t>
  </si>
  <si>
    <t>作時間者，為超過變更後工作時間之部分。</t>
  </si>
  <si>
    <t>主管機關，為雇主之主事務所、主營業所或公務所所在地之直轄市政府或</t>
  </si>
  <si>
    <t>本法第三十二條之一所定補休，應依勞工延長工作時間或休息日工作事實</t>
  </si>
  <si>
    <t>發生時間先後順序補休。補休之期限逾依第二十四條第二項所約定年度之</t>
  </si>
  <si>
    <t>末日者，以該日為期限之末日。</t>
  </si>
  <si>
    <t>十日內發給。</t>
  </si>
  <si>
    <t>勞工依本法第三十二條之一主張權利時，雇主如認為其權利不存在，應負</t>
  </si>
  <si>
    <t>舉證責任。</t>
  </si>
  <si>
    <t>一、以勞工受僱當日起算，每一週年之期間。但其工作六個月以上一年未</t>
  </si>
  <si>
    <t>滿者，為取得特別休假權利後六個月之期間。</t>
  </si>
  <si>
    <t>（二）前目所定一日工資，為勞工之特別休假於年度終結或契約終止前一</t>
  </si>
  <si>
    <t>日之正常工作時間所得之工資。其為計月者，為年度終結或契約終</t>
  </si>
  <si>
    <t>止前最近一個月正常工作時間所得之工資除以三十所得之金額。</t>
  </si>
  <si>
    <t>施者，按原特別休假年度終結時應發給工資之基準計發。</t>
  </si>
  <si>
    <t>列印之資料為之。</t>
  </si>
  <si>
    <t>第一項保留本法工作年資之在職勞工，且預估於次一年度內成就本法</t>
  </si>
  <si>
    <t>第五十三條或第五十四條第一項第一款退休條件者。</t>
  </si>
  <si>
    <t>適用勞工退休金條例前一日止。</t>
  </si>
  <si>
    <t>勞工因遭遇職業災害而致死亡或失能時，雇主已依勞工保險條例規定為其</t>
  </si>
  <si>
    <t>對一般勞工之受僱、解僱或勞動條件具有決定權力之主管級人員。</t>
  </si>
  <si>
    <r>
      <t>勞工於符合本法第三十八條第一項所定之特別休假條件時，</t>
    </r>
    <r>
      <rPr>
        <b/>
        <sz val="14"/>
        <color rgb="FFC00000"/>
        <rFont val="微軟正黑體"/>
        <family val="2"/>
        <charset val="136"/>
      </rPr>
      <t>取得特別休假</t>
    </r>
    <phoneticPr fontId="1" type="noConversion"/>
  </si>
  <si>
    <r>
      <rPr>
        <b/>
        <sz val="14"/>
        <color rgb="FFC00000"/>
        <rFont val="微軟正黑體"/>
        <family val="2"/>
        <charset val="136"/>
      </rPr>
      <t>之權利</t>
    </r>
    <r>
      <rPr>
        <b/>
        <sz val="14"/>
        <color rgb="FF333333"/>
        <rFont val="微軟正黑體"/>
        <family val="2"/>
        <charset val="136"/>
      </rPr>
      <t>；其計算特別休假之工作年資，應依第五條之規定。</t>
    </r>
    <phoneticPr fontId="1" type="noConversion"/>
  </si>
  <si>
    <r>
      <t>依本法第三十八條第一項規定給予之特別休假日數，</t>
    </r>
    <r>
      <rPr>
        <b/>
        <sz val="14"/>
        <color rgb="FFC00000"/>
        <rFont val="微軟正黑體"/>
        <family val="2"/>
        <charset val="136"/>
      </rPr>
      <t>勞工得於勞雇雙方協</t>
    </r>
    <phoneticPr fontId="1" type="noConversion"/>
  </si>
  <si>
    <r>
      <t>（一）按勞工未休畢之</t>
    </r>
    <r>
      <rPr>
        <b/>
        <sz val="14"/>
        <color rgb="FFC00000"/>
        <rFont val="微軟正黑體"/>
        <family val="2"/>
        <charset val="136"/>
      </rPr>
      <t>特別休假日數，乘以其一日工資計發。</t>
    </r>
    <phoneticPr fontId="1" type="noConversion"/>
  </si>
  <si>
    <t>一年度終結或契約終止仍未休之日數，雇主應發給工資。</t>
    <phoneticPr fontId="1" type="noConversion"/>
  </si>
  <si>
    <r>
      <t>勞工之特別休假，因</t>
    </r>
    <r>
      <rPr>
        <b/>
        <sz val="14"/>
        <color rgb="FFC00000"/>
        <rFont val="微軟正黑體"/>
        <family val="2"/>
        <charset val="136"/>
      </rPr>
      <t>年度終結或契約終止而未休之日數，雇主應發給工資</t>
    </r>
    <phoneticPr fontId="1" type="noConversion"/>
  </si>
  <si>
    <r>
      <t>。但</t>
    </r>
    <r>
      <rPr>
        <b/>
        <sz val="14"/>
        <color rgb="FF333333"/>
        <rFont val="微軟正黑體"/>
        <family val="2"/>
        <charset val="136"/>
      </rPr>
      <t>年度終結未休之日數，</t>
    </r>
    <r>
      <rPr>
        <b/>
        <sz val="14"/>
        <color rgb="FFC00000"/>
        <rFont val="微軟正黑體"/>
        <family val="2"/>
        <charset val="136"/>
      </rPr>
      <t>經勞雇雙方協商遞延至次一年度實施者</t>
    </r>
    <r>
      <rPr>
        <sz val="14"/>
        <color rgb="FF333333"/>
        <rFont val="微軟正黑體"/>
        <family val="2"/>
        <charset val="136"/>
      </rPr>
      <t>，於次</t>
    </r>
    <phoneticPr fontId="1" type="noConversion"/>
  </si>
  <si>
    <r>
      <rPr>
        <sz val="14"/>
        <color rgb="FFC00000"/>
        <rFont val="微軟正黑體"/>
        <family val="2"/>
        <charset val="136"/>
      </rPr>
      <t>（一）</t>
    </r>
    <r>
      <rPr>
        <b/>
        <sz val="14"/>
        <color rgb="FFC00000"/>
        <rFont val="微軟正黑體"/>
        <family val="2"/>
        <charset val="136"/>
      </rPr>
      <t>年度終結：於契約約定之工資給付日發給或於年度終結後三十日內發給。</t>
    </r>
    <phoneticPr fontId="1" type="noConversion"/>
  </si>
  <si>
    <t>到職日前</t>
  </si>
  <si>
    <t>到職日前</t>
    <phoneticPr fontId="1" type="noConversion"/>
  </si>
  <si>
    <t>到職日後</t>
    <phoneticPr fontId="1" type="noConversion"/>
  </si>
  <si>
    <t>商之下列期間內，行使特別休假權利：</t>
    <phoneticPr fontId="1" type="noConversion"/>
  </si>
  <si>
    <t>勞基法第 38 條</t>
    <phoneticPr fontId="1" type="noConversion"/>
  </si>
  <si>
    <t>勞基法施行細則第 24 條</t>
    <phoneticPr fontId="1" type="noConversion"/>
  </si>
  <si>
    <t>條、第三十二條、第三十六條、第三十七條、第四十九條規定之限制。</t>
    <phoneticPr fontId="1" type="noConversion"/>
  </si>
  <si>
    <t>徐坤鈺</t>
  </si>
  <si>
    <t>鄭育閔</t>
  </si>
  <si>
    <t>林子揚</t>
  </si>
  <si>
    <t>羅殷御</t>
  </si>
  <si>
    <t>李柏陞</t>
  </si>
  <si>
    <t>洪勢雄</t>
  </si>
  <si>
    <t>周祐全</t>
  </si>
  <si>
    <t>金瑞傑</t>
  </si>
  <si>
    <t>顏睿呈</t>
  </si>
  <si>
    <t>鄭雅云</t>
  </si>
  <si>
    <t>鍾岳霖</t>
  </si>
  <si>
    <t>范竣翔</t>
  </si>
  <si>
    <t>陳毅明</t>
  </si>
  <si>
    <t>吳泓毅</t>
  </si>
  <si>
    <t>黃祺佑</t>
  </si>
  <si>
    <t>李和霖</t>
  </si>
  <si>
    <t>劉俊賢</t>
  </si>
  <si>
    <t>謝明翰</t>
  </si>
  <si>
    <t>林育薇</t>
  </si>
  <si>
    <t>吳振宇</t>
  </si>
  <si>
    <t>吳俊男</t>
  </si>
  <si>
    <t>葉宜君</t>
  </si>
  <si>
    <t>呂婉萍</t>
  </si>
  <si>
    <t>陳雅婷</t>
  </si>
  <si>
    <t>陳怡頻</t>
  </si>
  <si>
    <t>戴芷沂</t>
  </si>
  <si>
    <t>余聖宏</t>
  </si>
  <si>
    <t>朱博文</t>
  </si>
  <si>
    <t>王雅儀</t>
  </si>
  <si>
    <t>朱峮佩</t>
  </si>
  <si>
    <t>李奕霖</t>
  </si>
  <si>
    <t>蔡承佑</t>
  </si>
  <si>
    <t>賴俊豪</t>
  </si>
  <si>
    <t>賴進龍</t>
  </si>
  <si>
    <t>黃炳銘</t>
  </si>
  <si>
    <t>邱見鴻</t>
  </si>
  <si>
    <t>B0001</t>
  </si>
  <si>
    <t>B0002</t>
  </si>
  <si>
    <t>B0003</t>
  </si>
  <si>
    <t>李世偉</t>
  </si>
  <si>
    <t>B0004</t>
  </si>
  <si>
    <t>曹曼健</t>
  </si>
  <si>
    <t>B0005</t>
  </si>
  <si>
    <t>B0006</t>
  </si>
  <si>
    <t>B0007</t>
  </si>
  <si>
    <t>B0015</t>
  </si>
  <si>
    <t>B0017</t>
  </si>
  <si>
    <t>梁定康</t>
  </si>
  <si>
    <t>b0019</t>
  </si>
  <si>
    <t>B0021</t>
  </si>
  <si>
    <t>B0029</t>
  </si>
  <si>
    <t>B0063</t>
  </si>
  <si>
    <t>B0065</t>
  </si>
  <si>
    <t>B0071</t>
  </si>
  <si>
    <t>B0076</t>
  </si>
  <si>
    <t>B0093</t>
  </si>
  <si>
    <t>B0096</t>
  </si>
  <si>
    <t>B0098</t>
  </si>
  <si>
    <t>B0106</t>
  </si>
  <si>
    <t>B0109</t>
  </si>
  <si>
    <t>林貝怡</t>
  </si>
  <si>
    <t>B0113</t>
  </si>
  <si>
    <t>陳和檍</t>
  </si>
  <si>
    <t>B0115</t>
  </si>
  <si>
    <t>B0116</t>
  </si>
  <si>
    <t>B0119</t>
  </si>
  <si>
    <t>B0132</t>
  </si>
  <si>
    <t>B0137</t>
  </si>
  <si>
    <t>B0139</t>
  </si>
  <si>
    <t>B0140</t>
  </si>
  <si>
    <t>黃意云</t>
  </si>
  <si>
    <t>B0149</t>
  </si>
  <si>
    <t>B0152</t>
  </si>
  <si>
    <t>B0153</t>
  </si>
  <si>
    <t>B0158</t>
  </si>
  <si>
    <t>B0160</t>
  </si>
  <si>
    <t>B0162</t>
  </si>
  <si>
    <t>B0164</t>
  </si>
  <si>
    <t>B0165</t>
  </si>
  <si>
    <t>B0167</t>
  </si>
  <si>
    <t>B0170</t>
  </si>
  <si>
    <t>B0171</t>
  </si>
  <si>
    <t>王建智</t>
  </si>
  <si>
    <t>B0172</t>
  </si>
  <si>
    <t>沈晉峰</t>
  </si>
  <si>
    <t>B0173</t>
  </si>
  <si>
    <t>B0174</t>
  </si>
  <si>
    <t>邢育寧</t>
  </si>
  <si>
    <t>B0175</t>
  </si>
  <si>
    <t>B0008</t>
  </si>
  <si>
    <t>蘇信宏</t>
  </si>
  <si>
    <t>B0178</t>
  </si>
  <si>
    <t>B0179</t>
  </si>
  <si>
    <t>劉淑玲</t>
  </si>
  <si>
    <t>B0180</t>
  </si>
  <si>
    <t>林暉典</t>
  </si>
  <si>
    <t>B0182</t>
  </si>
  <si>
    <t>曾宏語</t>
  </si>
  <si>
    <t>B0185</t>
  </si>
  <si>
    <t>駱介文</t>
  </si>
  <si>
    <t>B0186</t>
  </si>
  <si>
    <t>王榮逢</t>
  </si>
  <si>
    <t>B0187</t>
  </si>
  <si>
    <t>施羿彤</t>
  </si>
  <si>
    <t>B0188</t>
  </si>
  <si>
    <t>陳姿蓉</t>
  </si>
  <si>
    <t>B0189</t>
  </si>
  <si>
    <t>吳泰樺</t>
  </si>
  <si>
    <t>B0191</t>
  </si>
  <si>
    <t>蔡冠宇</t>
  </si>
  <si>
    <t>B0192</t>
  </si>
  <si>
    <t>黃文星</t>
  </si>
  <si>
    <t>董事長</t>
  </si>
  <si>
    <t>總經理</t>
  </si>
  <si>
    <t>協理</t>
  </si>
  <si>
    <t>副理</t>
  </si>
  <si>
    <t>處長</t>
  </si>
  <si>
    <t>主任</t>
  </si>
  <si>
    <t>經理</t>
  </si>
  <si>
    <t>財務部 主任</t>
  </si>
  <si>
    <t>工務部 主任</t>
  </si>
  <si>
    <t>機電部 主任</t>
  </si>
  <si>
    <t>代主任</t>
  </si>
  <si>
    <t>工務部 採發科 主任</t>
  </si>
  <si>
    <t>機電部 代主任</t>
  </si>
  <si>
    <t>副工程師</t>
  </si>
  <si>
    <t>管理部 二等專員</t>
  </si>
  <si>
    <t>機電部 規劃科代主任</t>
  </si>
  <si>
    <t>工管科 二等專員</t>
  </si>
  <si>
    <t>助理工程師</t>
  </si>
  <si>
    <t>管理部 一等專員</t>
  </si>
  <si>
    <t>機電部 一等專員</t>
  </si>
  <si>
    <t>機電部 助理工程師</t>
  </si>
  <si>
    <t>財務部 一等專員</t>
  </si>
  <si>
    <t>襄理</t>
  </si>
  <si>
    <t>信然-執行長</t>
  </si>
  <si>
    <t>信然-工務助理</t>
  </si>
  <si>
    <t>安衛助理工程師</t>
  </si>
  <si>
    <t>工務部 工管科 一等專員</t>
  </si>
  <si>
    <t>規劃科 一等專員</t>
  </si>
  <si>
    <t>信泰誠-協理</t>
  </si>
  <si>
    <t>機電部 副工程師</t>
  </si>
  <si>
    <t>108年度</t>
  </si>
  <si>
    <t>108年度 1/1後</t>
  </si>
  <si>
    <t>到職日後109年度前</t>
  </si>
  <si>
    <t>https://www.gisin.com.tw/</t>
    <phoneticPr fontId="1" type="noConversion"/>
  </si>
  <si>
    <t>年</t>
    <phoneticPr fontId="6" type="noConversion"/>
  </si>
  <si>
    <t>月</t>
    <phoneticPr fontId="1" type="noConversion"/>
  </si>
  <si>
    <t>日</t>
    <phoneticPr fontId="1" type="noConversion"/>
  </si>
  <si>
    <t>&lt;&lt;輸入試算年度</t>
    <phoneticPr fontId="1" type="noConversion"/>
  </si>
  <si>
    <t>特休比例</t>
    <phoneticPr fontId="6" type="noConversion"/>
  </si>
  <si>
    <t>輸入後再按試算鈕</t>
    <phoneticPr fontId="1" type="noConversion"/>
  </si>
  <si>
    <t>滿半年(未滿一年期間)</t>
    <phoneticPr fontId="6" type="noConversion"/>
  </si>
  <si>
    <t>周年制</t>
    <phoneticPr fontId="1" type="noConversion"/>
  </si>
  <si>
    <t>到職日
至
12/31</t>
    <phoneticPr fontId="1" type="noConversion"/>
  </si>
  <si>
    <t xml:space="preserve">1/1至
到職日
前一日
</t>
    <phoneticPr fontId="1" type="noConversion"/>
  </si>
  <si>
    <t>曆年制試算(【到職日後】四捨五入進位至整數)</t>
    <phoneticPr fontId="1" type="noConversion"/>
  </si>
  <si>
    <t>曆年制試算_原始比例</t>
    <phoneticPr fontId="1" type="noConversion"/>
  </si>
  <si>
    <t>公司</t>
    <phoneticPr fontId="1" type="noConversion"/>
  </si>
  <si>
    <t>留職停薪</t>
    <phoneticPr fontId="1" type="noConversion"/>
  </si>
  <si>
    <t>到職日</t>
    <phoneticPr fontId="6" type="noConversion"/>
  </si>
  <si>
    <t>到職日
(留職)</t>
    <phoneticPr fontId="6" type="noConversion"/>
  </si>
  <si>
    <t>到職周年</t>
    <phoneticPr fontId="6" type="noConversion"/>
  </si>
  <si>
    <t>滿半年
A</t>
    <phoneticPr fontId="1" type="noConversion"/>
  </si>
  <si>
    <t>到職日前
B</t>
    <phoneticPr fontId="1" type="noConversion"/>
  </si>
  <si>
    <t>到職日後
C</t>
    <phoneticPr fontId="1" type="noConversion"/>
  </si>
  <si>
    <t>年度天數
A+B+C+D</t>
    <phoneticPr fontId="1" type="noConversion"/>
  </si>
  <si>
    <t>遞延 或
已結清
D</t>
    <phoneticPr fontId="1" type="noConversion"/>
  </si>
  <si>
    <t>滿半年有特休
到職日期間</t>
    <phoneticPr fontId="1" type="noConversion"/>
  </si>
  <si>
    <t>天數整數化試算
(四捨五入至整數)</t>
    <phoneticPr fontId="1" type="noConversion"/>
  </si>
  <si>
    <t>滿半年(未滿一年期間)</t>
    <phoneticPr fontId="6" type="noConversion"/>
  </si>
  <si>
    <r>
      <t>1/1至到職日</t>
    </r>
    <r>
      <rPr>
        <b/>
        <sz val="12"/>
        <color rgb="FFFF0000"/>
        <rFont val="微軟正黑體"/>
        <family val="2"/>
        <charset val="136"/>
      </rPr>
      <t>比例=</t>
    </r>
    <phoneticPr fontId="6" type="noConversion"/>
  </si>
  <si>
    <t>滿半年(未滿一年期間)</t>
    <phoneticPr fontId="6" type="noConversion"/>
  </si>
  <si>
    <t>曆年制試算(【到職日後】強制進位至整數)</t>
    <phoneticPr fontId="1" type="noConversion"/>
  </si>
  <si>
    <t>NO01</t>
  </si>
  <si>
    <t>姓名01</t>
  </si>
  <si>
    <t>碩銘</t>
  </si>
  <si>
    <t>管理部</t>
  </si>
  <si>
    <t>NO02</t>
  </si>
  <si>
    <t>姓名02</t>
  </si>
  <si>
    <t>NO03</t>
  </si>
  <si>
    <t>姓名03</t>
  </si>
  <si>
    <t>NO04</t>
  </si>
  <si>
    <t>姓名04</t>
  </si>
  <si>
    <t>NO05</t>
  </si>
  <si>
    <t>姓名05</t>
  </si>
  <si>
    <t>NO06</t>
  </si>
  <si>
    <t>姓名06</t>
  </si>
  <si>
    <t>NO07</t>
  </si>
  <si>
    <t>姓名07</t>
  </si>
  <si>
    <t>廠務</t>
  </si>
  <si>
    <t>NO08</t>
  </si>
  <si>
    <t>姓名08</t>
  </si>
  <si>
    <t>NO09</t>
  </si>
  <si>
    <t>姓名09</t>
  </si>
  <si>
    <t>NO10</t>
  </si>
  <si>
    <t>姓名10</t>
  </si>
  <si>
    <t>NO11</t>
  </si>
  <si>
    <t>姓名11</t>
  </si>
  <si>
    <t>NO12</t>
  </si>
  <si>
    <t>姓名12</t>
  </si>
  <si>
    <t>NO13</t>
  </si>
  <si>
    <t>姓名13</t>
  </si>
  <si>
    <t>製造部</t>
  </si>
  <si>
    <t>NO14</t>
  </si>
  <si>
    <t>姓名14</t>
  </si>
  <si>
    <t>NO15</t>
  </si>
  <si>
    <t>姓名15</t>
  </si>
  <si>
    <t>NO16</t>
  </si>
  <si>
    <t>姓名16</t>
  </si>
  <si>
    <t>NO17</t>
  </si>
  <si>
    <t>姓名17</t>
  </si>
  <si>
    <t>NO18</t>
  </si>
  <si>
    <t>姓名18</t>
  </si>
  <si>
    <t>NO19</t>
  </si>
  <si>
    <t>姓名19</t>
  </si>
  <si>
    <t>NO20</t>
  </si>
  <si>
    <t>姓名20</t>
  </si>
  <si>
    <t>NO21</t>
  </si>
  <si>
    <t>姓名21</t>
  </si>
  <si>
    <t>NO22</t>
  </si>
  <si>
    <t>姓名22</t>
  </si>
  <si>
    <t>NO01</t>
    <phoneticPr fontId="1" type="noConversion"/>
  </si>
  <si>
    <t>姓名01</t>
    <phoneticPr fontId="1" type="noConversion"/>
  </si>
  <si>
    <t>碩銘</t>
    <phoneticPr fontId="1" type="noConversion"/>
  </si>
  <si>
    <t>管理部</t>
    <phoneticPr fontId="1" type="noConversion"/>
  </si>
  <si>
    <t>廠務</t>
    <phoneticPr fontId="1" type="noConversion"/>
  </si>
  <si>
    <t>製造部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</si>
</sst>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404]e/m/d;@"/>
    <numFmt numFmtId="177" formatCode="0.00_ "/>
    <numFmt numFmtId="178" formatCode="m/d;@"/>
    <numFmt numFmtId="179" formatCode="0.00_ ;[Red]\-0.00\ "/>
    <numFmt numFmtId="180" formatCode="#,##0&quot;天&quot;"/>
    <numFmt numFmtId="181" formatCode="0.00_);[Red]\(0.00\)"/>
    <numFmt numFmtId="182" formatCode="#,##0.00_ ;[Red]\-#,##0.00\ "/>
    <numFmt numFmtId="183" formatCode="0.000_ ;[Red]\-0.000\ "/>
    <numFmt numFmtId="184" formatCode="0.000_ "/>
    <numFmt numFmtId="185" formatCode="&quot;滿&quot;#,##0&quot;周年期間&quot;"/>
    <numFmt numFmtId="186" formatCode="0.000_);[Red]\(0.000\)"/>
    <numFmt numFmtId="187" formatCode="##0&quot;年&quot;"/>
    <numFmt numFmtId="188" formatCode="#0&quot;月&quot;"/>
    <numFmt numFmtId="189" formatCode="#0&quot;日&quot;"/>
    <numFmt numFmtId="190" formatCode="#,##0.00000_ ;[Red]\-#,##0.00000\ "/>
    <numFmt numFmtId="191" formatCode="#,##0&quot;年&quot;"/>
    <numFmt numFmtId="192" formatCode="#,##0&quot;月&quot;"/>
    <numFmt numFmtId="193" formatCode="#,##0&quot;日&quot;"/>
    <numFmt numFmtId="194" formatCode="0.0000_ "/>
    <numFmt numFmtId="195" formatCode="m&quot;月&quot;d&quot;日&quot;"/>
    <numFmt numFmtId="196" formatCode="#,##0.000_ ;[Red]\-#,##0.000\ "/>
    <numFmt numFmtId="197" formatCode="#,##0.000_ "/>
  </numFmts>
  <fonts count="51" x14ac:knownFonts="1">
    <font>
      <sz val="12"/>
      <color theme="1"/>
      <name val="新細明體"/>
      <family val="2"/>
      <charset val="136"/>
      <scheme val="minor"/>
    </font>
    <font>
      <sz val="9"/>
      <name val="新細明體"/>
      <family val="2"/>
      <charset val="136"/>
      <scheme val="minor"/>
    </font>
    <font>
      <sz val="12"/>
      <color theme="1"/>
      <name val="微軟正黑體"/>
      <family val="2"/>
      <charset val="136"/>
    </font>
    <font>
      <b/>
      <sz val="12"/>
      <color theme="1"/>
      <name val="微軟正黑體"/>
      <family val="2"/>
      <charset val="136"/>
    </font>
    <font>
      <b/>
      <sz val="12"/>
      <color rgb="FFC00000"/>
      <name val="微軟正黑體"/>
      <family val="2"/>
      <charset val="136"/>
    </font>
    <font>
      <sz val="12"/>
      <color indexed="16"/>
      <name val="微軟正黑體"/>
      <family val="2"/>
      <charset val="136"/>
    </font>
    <font>
      <sz val="9"/>
      <name val="新細明體"/>
      <family val="1"/>
      <charset val="136"/>
    </font>
    <font>
      <sz val="12"/>
      <name val="微軟正黑體"/>
      <family val="2"/>
      <charset val="136"/>
    </font>
    <font>
      <b/>
      <sz val="12"/>
      <color rgb="FFFF0000"/>
      <name val="微軟正黑體"/>
      <family val="2"/>
      <charset val="136"/>
    </font>
    <font>
      <b/>
      <sz val="12"/>
      <color theme="0"/>
      <name val="新細明體"/>
      <family val="2"/>
      <charset val="136"/>
      <scheme val="minor"/>
    </font>
    <font>
      <b/>
      <sz val="20"/>
      <color theme="0"/>
      <name val="微軟正黑體"/>
      <family val="2"/>
      <charset val="136"/>
    </font>
    <font>
      <b/>
      <sz val="28"/>
      <color rgb="FFFF0000"/>
      <name val="微軟正黑體"/>
      <family val="2"/>
      <charset val="136"/>
    </font>
    <font>
      <sz val="9"/>
      <color indexed="81"/>
      <name val="Tahoma"/>
      <family val="2"/>
    </font>
    <font>
      <b/>
      <sz val="9"/>
      <color indexed="81"/>
      <name val="Tahoma"/>
      <family val="2"/>
    </font>
    <font>
      <b/>
      <sz val="9"/>
      <color indexed="81"/>
      <name val="細明體"/>
      <family val="3"/>
      <charset val="136"/>
    </font>
    <font>
      <sz val="9"/>
      <color indexed="81"/>
      <name val="細明體"/>
      <family val="3"/>
      <charset val="136"/>
    </font>
    <font>
      <sz val="10"/>
      <color theme="1"/>
      <name val="微軟正黑體"/>
      <family val="2"/>
      <charset val="136"/>
    </font>
    <font>
      <sz val="12"/>
      <color rgb="FFFF0000"/>
      <name val="微軟正黑體"/>
      <family val="2"/>
      <charset val="136"/>
    </font>
    <font>
      <b/>
      <sz val="12"/>
      <color indexed="81"/>
      <name val="新細明體"/>
      <family val="1"/>
      <charset val="136"/>
    </font>
    <font>
      <sz val="14"/>
      <color rgb="FF444444"/>
      <name val="微軟正黑體"/>
      <family val="2"/>
      <charset val="136"/>
    </font>
    <font>
      <sz val="14"/>
      <color theme="1"/>
      <name val="新細明體"/>
      <family val="2"/>
      <charset val="136"/>
      <scheme val="minor"/>
    </font>
    <font>
      <b/>
      <sz val="12"/>
      <color indexed="10"/>
      <name val="微軟正黑體"/>
      <family val="2"/>
      <charset val="136"/>
    </font>
    <font>
      <u/>
      <sz val="12"/>
      <color theme="10"/>
      <name val="新細明體"/>
      <family val="1"/>
      <charset val="136"/>
    </font>
    <font>
      <b/>
      <sz val="16"/>
      <color rgb="FFFF0000"/>
      <name val="新細明體"/>
      <family val="2"/>
      <charset val="136"/>
      <scheme val="minor"/>
    </font>
    <font>
      <b/>
      <u/>
      <sz val="16"/>
      <color rgb="FFFF0000"/>
      <name val="新細明體"/>
      <family val="1"/>
      <charset val="136"/>
    </font>
    <font>
      <sz val="16"/>
      <color theme="1"/>
      <name val="新細明體"/>
      <family val="1"/>
      <charset val="136"/>
      <scheme val="minor"/>
    </font>
    <font>
      <sz val="18"/>
      <color theme="1"/>
      <name val="微軟正黑體"/>
      <family val="2"/>
      <charset val="136"/>
    </font>
    <font>
      <b/>
      <sz val="14"/>
      <color rgb="FFFF0000"/>
      <name val="標楷體"/>
      <family val="4"/>
      <charset val="136"/>
    </font>
    <font>
      <b/>
      <sz val="14"/>
      <color rgb="FFFF0000"/>
      <name val="微軟正黑體"/>
      <family val="2"/>
      <charset val="136"/>
    </font>
    <font>
      <b/>
      <sz val="10"/>
      <color rgb="FFFF0000"/>
      <name val="微軟正黑體"/>
      <family val="2"/>
      <charset val="136"/>
    </font>
    <font>
      <u/>
      <sz val="18"/>
      <color theme="10"/>
      <name val="微軟正黑體"/>
      <family val="2"/>
      <charset val="136"/>
    </font>
    <font>
      <b/>
      <sz val="10"/>
      <color theme="1"/>
      <name val="微軟正黑體"/>
      <family val="2"/>
      <charset val="136"/>
    </font>
    <font>
      <b/>
      <sz val="12"/>
      <color theme="0"/>
      <name val="微軟正黑體"/>
      <family val="2"/>
      <charset val="136"/>
    </font>
    <font>
      <b/>
      <sz val="16"/>
      <color theme="1"/>
      <name val="微軟正黑體"/>
      <family val="2"/>
      <charset val="136"/>
    </font>
    <font>
      <sz val="16"/>
      <color theme="1"/>
      <name val="微軟正黑體"/>
      <family val="2"/>
      <charset val="136"/>
    </font>
    <font>
      <b/>
      <sz val="12"/>
      <color indexed="81"/>
      <name val="微軟正黑體"/>
      <family val="2"/>
      <charset val="136"/>
    </font>
    <font>
      <b/>
      <sz val="16"/>
      <color rgb="FFC00000"/>
      <name val="微軟正黑體"/>
      <family val="2"/>
      <charset val="136"/>
    </font>
    <font>
      <sz val="12"/>
      <color theme="0"/>
      <name val="新細明體"/>
      <family val="2"/>
      <charset val="136"/>
      <scheme val="minor"/>
    </font>
    <font>
      <sz val="22"/>
      <color theme="0"/>
      <name val="微軟正黑體"/>
      <family val="2"/>
      <charset val="136"/>
    </font>
    <font>
      <b/>
      <sz val="14"/>
      <color rgb="FFC00000"/>
      <name val="微軟正黑體"/>
      <family val="2"/>
      <charset val="136"/>
    </font>
    <font>
      <sz val="14"/>
      <color rgb="FFFF0000"/>
      <name val="微軟正黑體"/>
      <family val="2"/>
      <charset val="136"/>
    </font>
    <font>
      <sz val="14"/>
      <name val="微軟正黑體"/>
      <family val="2"/>
      <charset val="136"/>
    </font>
    <font>
      <sz val="14"/>
      <color rgb="FF000000"/>
      <name val="微軟正黑體"/>
      <family val="2"/>
      <charset val="136"/>
    </font>
    <font>
      <b/>
      <sz val="14"/>
      <color rgb="FF002060"/>
      <name val="微軟正黑體"/>
      <family val="2"/>
      <charset val="136"/>
    </font>
    <font>
      <b/>
      <sz val="14"/>
      <name val="微軟正黑體"/>
      <family val="2"/>
      <charset val="136"/>
    </font>
    <font>
      <b/>
      <sz val="14"/>
      <color rgb="FF333333"/>
      <name val="微軟正黑體"/>
      <family val="2"/>
      <charset val="136"/>
    </font>
    <font>
      <sz val="14"/>
      <color rgb="FF333333"/>
      <name val="微軟正黑體"/>
      <family val="2"/>
      <charset val="136"/>
    </font>
    <font>
      <b/>
      <sz val="14"/>
      <color rgb="FF333333"/>
      <name val="微軟正黑體"/>
      <family val="2"/>
      <charset val="136"/>
    </font>
    <font>
      <sz val="14"/>
      <color rgb="FFC00000"/>
      <name val="微軟正黑體"/>
      <family val="2"/>
      <charset val="136"/>
    </font>
    <font>
      <b/>
      <sz val="12"/>
      <color rgb="FFFF0000"/>
      <name val="新細明體"/>
      <family val="2"/>
      <charset val="136"/>
      <scheme val="minor"/>
    </font>
    <font>
      <sz val="12"/>
      <color indexed="81"/>
      <name val="細明體"/>
      <family val="3"/>
      <charset val="136"/>
    </font>
  </fonts>
  <fills count="22">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rgb="FFCCFFFF"/>
        <bgColor indexed="64"/>
      </patternFill>
    </fill>
    <fill>
      <patternFill patternType="solid">
        <fgColor rgb="FF92D05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249977111117893"/>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99FFCC"/>
        <bgColor indexed="64"/>
      </patternFill>
    </fill>
    <fill>
      <patternFill patternType="solid">
        <fgColor rgb="FF33CC33"/>
        <bgColor indexed="64"/>
      </patternFill>
    </fill>
    <fill>
      <patternFill patternType="solid">
        <fgColor rgb="FFFCA68E"/>
        <bgColor indexed="64"/>
      </patternFill>
    </fill>
    <fill>
      <patternFill patternType="solid">
        <fgColor rgb="FF800000"/>
        <bgColor indexed="64"/>
      </patternFill>
    </fill>
    <fill>
      <patternFill patternType="solid">
        <fgColor rgb="FFFFFF99"/>
        <bgColor indexed="64"/>
      </patternFill>
    </fill>
    <fill>
      <patternFill patternType="solid">
        <fgColor rgb="FF002060"/>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ck">
        <color rgb="FFC00000"/>
      </right>
      <top/>
      <bottom/>
      <diagonal/>
    </border>
    <border>
      <left/>
      <right style="thick">
        <color rgb="FFC00000"/>
      </right>
      <top style="thin">
        <color indexed="64"/>
      </top>
      <bottom/>
      <diagonal/>
    </border>
    <border>
      <left style="thick">
        <color rgb="FFC00000"/>
      </left>
      <right/>
      <top/>
      <bottom/>
      <diagonal/>
    </border>
    <border>
      <left style="thick">
        <color rgb="FFFF0000"/>
      </left>
      <right/>
      <top/>
      <bottom/>
      <diagonal/>
    </border>
    <border>
      <left/>
      <right style="thick">
        <color rgb="FFFF0000"/>
      </right>
      <top/>
      <bottom/>
      <diagonal/>
    </border>
    <border>
      <left style="thick">
        <color rgb="FFFF0000"/>
      </left>
      <right/>
      <top style="thin">
        <color indexed="64"/>
      </top>
      <bottom/>
      <diagonal/>
    </border>
    <border>
      <left style="thick">
        <color rgb="FFFF0000"/>
      </left>
      <right/>
      <top/>
      <bottom style="thin">
        <color indexed="64"/>
      </bottom>
      <diagonal/>
    </border>
    <border>
      <left style="thick">
        <color rgb="FFC00000"/>
      </left>
      <right/>
      <top/>
      <bottom style="thick">
        <color rgb="FFC00000"/>
      </bottom>
      <diagonal/>
    </border>
    <border>
      <left/>
      <right/>
      <top/>
      <bottom style="thick">
        <color rgb="FFC00000"/>
      </bottom>
      <diagonal/>
    </border>
    <border>
      <left style="thick">
        <color rgb="FFFF0000"/>
      </left>
      <right/>
      <top style="medium">
        <color indexed="64"/>
      </top>
      <bottom style="thick">
        <color rgb="FFC00000"/>
      </bottom>
      <diagonal/>
    </border>
    <border>
      <left/>
      <right/>
      <top style="medium">
        <color indexed="64"/>
      </top>
      <bottom style="thick">
        <color rgb="FFC00000"/>
      </bottom>
      <diagonal/>
    </border>
    <border>
      <left/>
      <right style="thick">
        <color rgb="FFC00000"/>
      </right>
      <top style="medium">
        <color indexed="64"/>
      </top>
      <bottom style="thick">
        <color rgb="FFC00000"/>
      </bottom>
      <diagonal/>
    </border>
    <border>
      <left/>
      <right style="thick">
        <color rgb="FFFF0000"/>
      </right>
      <top style="medium">
        <color indexed="64"/>
      </top>
      <bottom style="thick">
        <color rgb="FFC00000"/>
      </bottom>
      <diagonal/>
    </border>
    <border>
      <left/>
      <right style="thick">
        <color rgb="FFC00000"/>
      </right>
      <top/>
      <bottom style="thick">
        <color rgb="FFC00000"/>
      </bottom>
      <diagonal/>
    </border>
    <border>
      <left style="thick">
        <color rgb="FFC00000"/>
      </left>
      <right/>
      <top style="thick">
        <color rgb="FFC00000"/>
      </top>
      <bottom/>
      <diagonal/>
    </border>
    <border>
      <left/>
      <right/>
      <top style="thick">
        <color rgb="FFC00000"/>
      </top>
      <bottom/>
      <diagonal/>
    </border>
    <border>
      <left style="thick">
        <color rgb="FFFF0000"/>
      </left>
      <right/>
      <top style="thick">
        <color rgb="FFC00000"/>
      </top>
      <bottom/>
      <diagonal/>
    </border>
    <border>
      <left/>
      <right style="thick">
        <color rgb="FFC00000"/>
      </right>
      <top style="thick">
        <color rgb="FFC00000"/>
      </top>
      <bottom/>
      <diagonal/>
    </border>
    <border>
      <left/>
      <right style="thick">
        <color rgb="FFFF0000"/>
      </right>
      <top style="thick">
        <color rgb="FFC00000"/>
      </top>
      <bottom/>
      <diagonal/>
    </border>
    <border>
      <left style="thin">
        <color indexed="64"/>
      </left>
      <right/>
      <top style="thin">
        <color indexed="64"/>
      </top>
      <bottom/>
      <diagonal/>
    </border>
    <border>
      <left/>
      <right style="thin">
        <color indexed="64"/>
      </right>
      <top style="thin">
        <color indexed="64"/>
      </top>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thick">
        <color rgb="FFC00000"/>
      </left>
      <right/>
      <top style="medium">
        <color indexed="64"/>
      </top>
      <bottom style="thick">
        <color rgb="FFC00000"/>
      </bottom>
      <diagonal/>
    </border>
    <border>
      <left/>
      <right style="thin">
        <color indexed="64"/>
      </right>
      <top/>
      <bottom/>
      <diagonal/>
    </border>
    <border>
      <left style="thin">
        <color indexed="64"/>
      </left>
      <right style="thin">
        <color indexed="64"/>
      </right>
      <top/>
      <bottom/>
      <diagonal/>
    </border>
    <border>
      <left style="thin">
        <color indexed="64"/>
      </left>
      <right style="medium">
        <color rgb="FFC00000"/>
      </right>
      <top/>
      <bottom style="thin">
        <color indexed="64"/>
      </bottom>
      <diagonal/>
    </border>
    <border>
      <left style="medium">
        <color rgb="FFC00000"/>
      </left>
      <right style="medium">
        <color rgb="FFC00000"/>
      </right>
      <top/>
      <bottom style="thin">
        <color indexed="64"/>
      </bottom>
      <diagonal/>
    </border>
    <border>
      <left style="medium">
        <color rgb="FFC00000"/>
      </left>
      <right style="thin">
        <color indexed="64"/>
      </right>
      <top/>
      <bottom style="thin">
        <color indexed="64"/>
      </bottom>
      <diagonal/>
    </border>
    <border>
      <left/>
      <right style="medium">
        <color rgb="FFC00000"/>
      </right>
      <top/>
      <bottom style="thin">
        <color indexed="64"/>
      </bottom>
      <diagonal/>
    </border>
    <border>
      <left style="thin">
        <color indexed="64"/>
      </left>
      <right style="medium">
        <color rgb="FFC00000"/>
      </right>
      <top style="thin">
        <color indexed="64"/>
      </top>
      <bottom style="medium">
        <color rgb="FFC00000"/>
      </bottom>
      <diagonal/>
    </border>
    <border>
      <left style="thin">
        <color indexed="64"/>
      </left>
      <right style="medium">
        <color rgb="FFC00000"/>
      </right>
      <top style="thin">
        <color indexed="64"/>
      </top>
      <bottom style="thin">
        <color indexed="64"/>
      </bottom>
      <diagonal/>
    </border>
    <border>
      <left style="medium">
        <color rgb="FFC00000"/>
      </left>
      <right style="thin">
        <color indexed="64"/>
      </right>
      <top style="thin">
        <color indexed="64"/>
      </top>
      <bottom style="thin">
        <color indexed="64"/>
      </bottom>
      <diagonal/>
    </border>
    <border>
      <left style="medium">
        <color rgb="FFC00000"/>
      </left>
      <right/>
      <top style="thin">
        <color indexed="64"/>
      </top>
      <bottom style="thin">
        <color indexed="64"/>
      </bottom>
      <diagonal/>
    </border>
    <border>
      <left style="medium">
        <color rgb="FFC00000"/>
      </left>
      <right/>
      <top style="medium">
        <color rgb="FFC00000"/>
      </top>
      <bottom style="thin">
        <color indexed="64"/>
      </bottom>
      <diagonal/>
    </border>
    <border>
      <left/>
      <right style="thin">
        <color indexed="64"/>
      </right>
      <top style="medium">
        <color rgb="FFC00000"/>
      </top>
      <bottom style="thin">
        <color indexed="64"/>
      </bottom>
      <diagonal/>
    </border>
    <border>
      <left style="thin">
        <color indexed="64"/>
      </left>
      <right/>
      <top style="medium">
        <color rgb="FFC00000"/>
      </top>
      <bottom style="thin">
        <color indexed="64"/>
      </bottom>
      <diagonal/>
    </border>
    <border>
      <left/>
      <right style="medium">
        <color rgb="FFC00000"/>
      </right>
      <top style="medium">
        <color rgb="FFC00000"/>
      </top>
      <bottom style="thin">
        <color indexed="64"/>
      </bottom>
      <diagonal/>
    </border>
    <border>
      <left style="medium">
        <color rgb="FFC00000"/>
      </left>
      <right style="thin">
        <color indexed="64"/>
      </right>
      <top style="thin">
        <color indexed="64"/>
      </top>
      <bottom/>
      <diagonal/>
    </border>
    <border>
      <left style="thin">
        <color indexed="64"/>
      </left>
      <right style="medium">
        <color rgb="FFC00000"/>
      </right>
      <top style="thin">
        <color indexed="64"/>
      </top>
      <bottom/>
      <diagonal/>
    </border>
    <border>
      <left style="medium">
        <color rgb="FFC00000"/>
      </left>
      <right style="thin">
        <color indexed="64"/>
      </right>
      <top style="thin">
        <color indexed="64"/>
      </top>
      <bottom style="medium">
        <color rgb="FFC00000"/>
      </bottom>
      <diagonal/>
    </border>
    <border>
      <left style="thin">
        <color indexed="64"/>
      </left>
      <right style="thin">
        <color indexed="64"/>
      </right>
      <top style="thin">
        <color indexed="64"/>
      </top>
      <bottom style="medium">
        <color rgb="FFC00000"/>
      </bottom>
      <diagonal/>
    </border>
    <border>
      <left style="medium">
        <color rgb="FFC00000"/>
      </left>
      <right/>
      <top/>
      <bottom style="thin">
        <color indexed="64"/>
      </bottom>
      <diagonal/>
    </border>
    <border>
      <left style="medium">
        <color rgb="FFC00000"/>
      </left>
      <right style="medium">
        <color rgb="FFC00000"/>
      </right>
      <top style="thin">
        <color indexed="64"/>
      </top>
      <bottom style="thin">
        <color indexed="64"/>
      </bottom>
      <diagonal/>
    </border>
    <border>
      <left/>
      <right style="medium">
        <color rgb="FFC00000"/>
      </right>
      <top/>
      <bottom/>
      <diagonal/>
    </border>
    <border>
      <left/>
      <right style="medium">
        <color rgb="FFC00000"/>
      </right>
      <top style="thin">
        <color indexed="64"/>
      </top>
      <bottom style="thin">
        <color indexed="64"/>
      </bottom>
      <diagonal/>
    </border>
    <border>
      <left/>
      <right/>
      <top/>
      <bottom style="medium">
        <color rgb="FFC00000"/>
      </bottom>
      <diagonal/>
    </border>
    <border>
      <left style="thin">
        <color indexed="64"/>
      </left>
      <right/>
      <top/>
      <bottom style="medium">
        <color rgb="FFC00000"/>
      </bottom>
      <diagonal/>
    </border>
    <border>
      <left/>
      <right/>
      <top style="medium">
        <color rgb="FFC00000"/>
      </top>
      <bottom/>
      <diagonal/>
    </border>
    <border>
      <left/>
      <right/>
      <top style="medium">
        <color rgb="FFC00000"/>
      </top>
      <bottom style="thin">
        <color indexed="64"/>
      </bottom>
      <diagonal/>
    </border>
    <border>
      <left/>
      <right style="thin">
        <color indexed="64"/>
      </right>
      <top style="thin">
        <color indexed="64"/>
      </top>
      <bottom style="medium">
        <color rgb="FFC00000"/>
      </bottom>
      <diagonal/>
    </border>
    <border>
      <left style="thin">
        <color indexed="64"/>
      </left>
      <right/>
      <top style="thin">
        <color indexed="64"/>
      </top>
      <bottom style="medium">
        <color rgb="FFC00000"/>
      </bottom>
      <diagonal/>
    </border>
    <border>
      <left style="thick">
        <color rgb="FFC00000"/>
      </left>
      <right style="thin">
        <color indexed="64"/>
      </right>
      <top style="thick">
        <color rgb="FFC00000"/>
      </top>
      <bottom style="thick">
        <color rgb="FFC00000"/>
      </bottom>
      <diagonal/>
    </border>
    <border>
      <left style="thin">
        <color indexed="64"/>
      </left>
      <right style="thin">
        <color indexed="64"/>
      </right>
      <top style="thick">
        <color rgb="FFC00000"/>
      </top>
      <bottom style="thick">
        <color rgb="FFC00000"/>
      </bottom>
      <diagonal/>
    </border>
    <border>
      <left style="thin">
        <color indexed="64"/>
      </left>
      <right/>
      <top/>
      <bottom/>
      <diagonal/>
    </border>
    <border>
      <left style="thick">
        <color rgb="FFC00000"/>
      </left>
      <right style="thin">
        <color indexed="64"/>
      </right>
      <top style="thin">
        <color indexed="64"/>
      </top>
      <bottom style="thick">
        <color rgb="FFC00000"/>
      </bottom>
      <diagonal/>
    </border>
    <border>
      <left style="thin">
        <color indexed="64"/>
      </left>
      <right style="thin">
        <color indexed="64"/>
      </right>
      <top style="thin">
        <color indexed="64"/>
      </top>
      <bottom style="thick">
        <color rgb="FFC00000"/>
      </bottom>
      <diagonal/>
    </border>
    <border>
      <left style="thin">
        <color indexed="64"/>
      </left>
      <right style="thick">
        <color rgb="FFC00000"/>
      </right>
      <top style="thin">
        <color indexed="64"/>
      </top>
      <bottom style="thick">
        <color rgb="FFC00000"/>
      </bottom>
      <diagonal/>
    </border>
    <border>
      <left style="thick">
        <color rgb="FFC00000"/>
      </left>
      <right style="thin">
        <color indexed="64"/>
      </right>
      <top/>
      <bottom style="thin">
        <color indexed="64"/>
      </bottom>
      <diagonal/>
    </border>
    <border>
      <left style="thin">
        <color indexed="64"/>
      </left>
      <right style="thick">
        <color rgb="FFC00000"/>
      </right>
      <top/>
      <bottom style="thin">
        <color indexed="64"/>
      </bottom>
      <diagonal/>
    </border>
    <border>
      <left style="thick">
        <color rgb="FFC00000"/>
      </left>
      <right/>
      <top style="thick">
        <color rgb="FFC00000"/>
      </top>
      <bottom style="medium">
        <color indexed="64"/>
      </bottom>
      <diagonal/>
    </border>
    <border>
      <left/>
      <right/>
      <top style="thick">
        <color rgb="FFC00000"/>
      </top>
      <bottom style="medium">
        <color indexed="64"/>
      </bottom>
      <diagonal/>
    </border>
    <border>
      <left/>
      <right style="thick">
        <color rgb="FFC00000"/>
      </right>
      <top style="thick">
        <color rgb="FFC00000"/>
      </top>
      <bottom style="medium">
        <color indexed="64"/>
      </bottom>
      <diagonal/>
    </border>
    <border>
      <left style="medium">
        <color indexed="64"/>
      </left>
      <right/>
      <top style="medium">
        <color indexed="64"/>
      </top>
      <bottom style="thick">
        <color rgb="FFC00000"/>
      </bottom>
      <diagonal/>
    </border>
    <border>
      <left/>
      <right style="medium">
        <color indexed="64"/>
      </right>
      <top style="medium">
        <color indexed="64"/>
      </top>
      <bottom style="thick">
        <color rgb="FFC00000"/>
      </bottom>
      <diagonal/>
    </border>
    <border>
      <left style="medium">
        <color indexed="64"/>
      </left>
      <right style="thick">
        <color rgb="FFC00000"/>
      </right>
      <top style="thick">
        <color rgb="FFC00000"/>
      </top>
      <bottom style="thick">
        <color rgb="FFC00000"/>
      </bottom>
      <diagonal/>
    </border>
    <border>
      <left style="thick">
        <color rgb="FFC00000"/>
      </left>
      <right style="thick">
        <color rgb="FFC00000"/>
      </right>
      <top style="thick">
        <color rgb="FFC00000"/>
      </top>
      <bottom style="thick">
        <color rgb="FFC00000"/>
      </bottom>
      <diagonal/>
    </border>
    <border>
      <left style="thick">
        <color rgb="FFC00000"/>
      </left>
      <right style="medium">
        <color indexed="64"/>
      </right>
      <top style="thick">
        <color rgb="FFC00000"/>
      </top>
      <bottom style="thick">
        <color rgb="FFC00000"/>
      </bottom>
      <diagonal/>
    </border>
    <border>
      <left style="medium">
        <color rgb="FFC00000"/>
      </left>
      <right style="medium">
        <color rgb="FFC00000"/>
      </right>
      <top style="medium">
        <color rgb="FFC00000"/>
      </top>
      <bottom style="medium">
        <color rgb="FFC00000"/>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ck">
        <color rgb="FFC00000"/>
      </top>
      <bottom style="medium">
        <color indexed="64"/>
      </bottom>
      <diagonal/>
    </border>
    <border>
      <left style="thin">
        <color indexed="64"/>
      </left>
      <right style="thick">
        <color rgb="FFC00000"/>
      </right>
      <top style="thick">
        <color rgb="FFC00000"/>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rgb="FFDDDDDD"/>
      </top>
      <bottom/>
      <diagonal/>
    </border>
    <border>
      <left/>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alignment vertical="center"/>
    </xf>
    <xf numFmtId="0" fontId="22" fillId="0" borderId="0" applyNumberFormat="0" applyFill="0" applyBorder="0" applyAlignment="0" applyProtection="0">
      <alignment vertical="top"/>
      <protection locked="0"/>
    </xf>
  </cellStyleXfs>
  <cellXfs count="702">
    <xf numFmtId="0" fontId="0" fillId="0" borderId="0" xfId="0">
      <alignment vertical="center"/>
    </xf>
    <xf numFmtId="0" fontId="2" fillId="0" borderId="0" xfId="0" applyFont="1">
      <alignment vertical="center"/>
    </xf>
    <xf numFmtId="0" fontId="2" fillId="2" borderId="1" xfId="0" applyFont="1" applyFill="1" applyBorder="1" applyAlignment="1">
      <alignment vertical="top" wrapText="1"/>
    </xf>
    <xf numFmtId="0" fontId="3" fillId="2" borderId="1" xfId="0" applyFont="1" applyFill="1" applyBorder="1" applyAlignment="1">
      <alignment vertical="top" wrapText="1"/>
    </xf>
    <xf numFmtId="0" fontId="3" fillId="2" borderId="1" xfId="0" applyFont="1" applyFill="1" applyBorder="1" applyAlignment="1">
      <alignment horizontal="left" vertical="top" wrapText="1" indent="2"/>
    </xf>
    <xf numFmtId="0" fontId="2" fillId="2" borderId="1" xfId="0" applyFont="1" applyFill="1" applyBorder="1" applyAlignment="1">
      <alignment horizontal="left" vertical="top" wrapText="1" indent="2"/>
    </xf>
    <xf numFmtId="0" fontId="2" fillId="4" borderId="0" xfId="0" applyFont="1" applyFill="1" applyBorder="1" applyAlignment="1" applyProtection="1">
      <alignment horizontal="center" vertical="top"/>
      <protection hidden="1"/>
    </xf>
    <xf numFmtId="176" fontId="2" fillId="0" borderId="0" xfId="0" applyNumberFormat="1" applyFont="1" applyFill="1" applyBorder="1" applyAlignment="1" applyProtection="1">
      <alignment horizontal="center" vertical="center" shrinkToFit="1"/>
      <protection hidden="1"/>
    </xf>
    <xf numFmtId="0" fontId="2" fillId="0" borderId="15"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2" borderId="7"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0" xfId="0" applyFont="1" applyFill="1" applyBorder="1" applyAlignment="1">
      <alignment horizontal="left" vertical="top" wrapText="1" indent="2"/>
    </xf>
    <xf numFmtId="0" fontId="2" fillId="2" borderId="0" xfId="0" applyFont="1" applyFill="1" applyBorder="1" applyAlignment="1">
      <alignment horizontal="left" vertical="top" wrapText="1" indent="2"/>
    </xf>
    <xf numFmtId="0" fontId="2" fillId="4" borderId="1" xfId="0" applyFont="1" applyFill="1" applyBorder="1" applyAlignment="1" applyProtection="1">
      <alignment vertical="center" shrinkToFit="1"/>
      <protection hidden="1"/>
    </xf>
    <xf numFmtId="0" fontId="2" fillId="4" borderId="1" xfId="0" applyNumberFormat="1" applyFont="1" applyFill="1" applyBorder="1" applyAlignment="1" applyProtection="1">
      <alignment vertical="center" shrinkToFit="1"/>
      <protection hidden="1"/>
    </xf>
    <xf numFmtId="0" fontId="2" fillId="4" borderId="1" xfId="0" applyFont="1" applyFill="1" applyBorder="1" applyAlignment="1" applyProtection="1">
      <alignment horizontal="center" vertical="center" shrinkToFit="1"/>
      <protection hidden="1"/>
    </xf>
    <xf numFmtId="0" fontId="5" fillId="0" borderId="0" xfId="0" applyNumberFormat="1" applyFont="1" applyFill="1" applyBorder="1" applyAlignment="1" applyProtection="1">
      <alignment horizontal="center" vertical="center" shrinkToFit="1"/>
      <protection hidden="1"/>
    </xf>
    <xf numFmtId="0" fontId="0" fillId="0" borderId="0" xfId="0" applyProtection="1">
      <alignment vertical="center"/>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Protection="1">
      <alignment vertical="center"/>
      <protection locked="0"/>
    </xf>
    <xf numFmtId="0" fontId="2" fillId="0" borderId="1" xfId="0" applyFont="1" applyFill="1" applyBorder="1" applyAlignment="1" applyProtection="1">
      <alignment horizontal="center" vertical="center" shrinkToFit="1"/>
      <protection locked="0"/>
    </xf>
    <xf numFmtId="0" fontId="2" fillId="0" borderId="0" xfId="0" applyFont="1" applyProtection="1">
      <alignment vertical="center"/>
      <protection hidden="1"/>
    </xf>
    <xf numFmtId="0" fontId="2" fillId="0" borderId="1" xfId="0" applyFont="1" applyBorder="1" applyAlignment="1" applyProtection="1">
      <alignment vertical="center" shrinkToFit="1"/>
      <protection hidden="1"/>
    </xf>
    <xf numFmtId="0" fontId="2" fillId="0" borderId="0" xfId="0" applyFont="1" applyBorder="1" applyAlignment="1" applyProtection="1">
      <alignment horizontal="center" vertical="center"/>
      <protection hidden="1"/>
    </xf>
    <xf numFmtId="0" fontId="2" fillId="4" borderId="1" xfId="0" applyFont="1" applyFill="1" applyBorder="1" applyAlignment="1" applyProtection="1">
      <alignment horizontal="center" vertical="center" shrinkToFit="1"/>
      <protection locked="0"/>
    </xf>
    <xf numFmtId="0" fontId="10" fillId="10" borderId="0" xfId="0" applyFont="1" applyFill="1" applyAlignment="1">
      <alignment vertical="center" wrapText="1"/>
    </xf>
    <xf numFmtId="0" fontId="9" fillId="10" borderId="0" xfId="0" applyFont="1" applyFill="1">
      <alignment vertical="center"/>
    </xf>
    <xf numFmtId="0" fontId="10" fillId="10" borderId="0" xfId="0" applyFont="1" applyFill="1">
      <alignment vertical="center"/>
    </xf>
    <xf numFmtId="0" fontId="2" fillId="0" borderId="0" xfId="0" applyFont="1" applyProtection="1">
      <alignment vertical="center"/>
      <protection locked="0"/>
    </xf>
    <xf numFmtId="0" fontId="2" fillId="7" borderId="1" xfId="0" applyFont="1" applyFill="1" applyBorder="1" applyAlignment="1" applyProtection="1">
      <alignment horizontal="center" vertical="center" shrinkToFit="1"/>
      <protection locked="0"/>
    </xf>
    <xf numFmtId="0" fontId="2" fillId="12" borderId="1" xfId="0" applyFont="1" applyFill="1" applyBorder="1" applyAlignment="1" applyProtection="1">
      <alignment horizontal="center" vertical="center"/>
      <protection locked="0"/>
    </xf>
    <xf numFmtId="0" fontId="2" fillId="12" borderId="1" xfId="0" applyFont="1" applyFill="1" applyBorder="1" applyProtection="1">
      <alignment vertical="center"/>
      <protection locked="0"/>
    </xf>
    <xf numFmtId="0" fontId="2" fillId="0" borderId="2" xfId="0" applyFont="1" applyBorder="1" applyProtection="1">
      <alignment vertical="center"/>
      <protection locked="0"/>
    </xf>
    <xf numFmtId="176" fontId="2" fillId="12" borderId="1" xfId="0" applyNumberFormat="1" applyFont="1" applyFill="1" applyBorder="1" applyAlignment="1" applyProtection="1">
      <alignment horizontal="center" vertical="center" shrinkToFit="1"/>
      <protection locked="0"/>
    </xf>
    <xf numFmtId="0" fontId="2" fillId="0" borderId="2" xfId="0" applyFont="1" applyFill="1" applyBorder="1" applyAlignment="1">
      <alignment horizontal="center" vertical="center"/>
    </xf>
    <xf numFmtId="0" fontId="3" fillId="2" borderId="1" xfId="0" applyFont="1" applyFill="1" applyBorder="1" applyAlignment="1" applyProtection="1">
      <alignment horizontal="left" vertical="top" wrapText="1" indent="2"/>
      <protection locked="0"/>
    </xf>
    <xf numFmtId="0" fontId="2" fillId="2" borderId="1" xfId="0" applyFont="1" applyFill="1" applyBorder="1" applyAlignment="1" applyProtection="1">
      <alignment horizontal="left" vertical="top" wrapText="1" indent="2"/>
      <protection locked="0"/>
    </xf>
    <xf numFmtId="0" fontId="2" fillId="5" borderId="2" xfId="0" applyFont="1" applyFill="1" applyBorder="1" applyAlignment="1">
      <alignment horizontal="center" vertical="center"/>
    </xf>
    <xf numFmtId="0" fontId="3" fillId="5" borderId="7" xfId="0" applyFont="1" applyFill="1" applyBorder="1" applyAlignment="1">
      <alignment horizontal="center" vertical="top" wrapText="1"/>
    </xf>
    <xf numFmtId="0" fontId="3" fillId="5" borderId="1" xfId="0" applyFont="1" applyFill="1" applyBorder="1" applyAlignment="1">
      <alignment horizontal="left" vertical="top" wrapText="1" indent="2"/>
    </xf>
    <xf numFmtId="0" fontId="2" fillId="5" borderId="1" xfId="0" applyFont="1" applyFill="1" applyBorder="1" applyAlignment="1">
      <alignment horizontal="left" vertical="top" wrapText="1" indent="2"/>
    </xf>
    <xf numFmtId="0" fontId="2" fillId="12" borderId="2" xfId="0" applyFont="1" applyFill="1" applyBorder="1" applyAlignment="1">
      <alignment horizontal="center" vertical="center"/>
    </xf>
    <xf numFmtId="0" fontId="2" fillId="12" borderId="7" xfId="0" applyFont="1" applyFill="1" applyBorder="1" applyAlignment="1">
      <alignment horizontal="center" vertical="top" wrapText="1"/>
    </xf>
    <xf numFmtId="0" fontId="3" fillId="12" borderId="7" xfId="0" applyFont="1" applyFill="1" applyBorder="1" applyAlignment="1">
      <alignment horizontal="center" vertical="top" wrapText="1"/>
    </xf>
    <xf numFmtId="0" fontId="2" fillId="12" borderId="1" xfId="0" applyFont="1" applyFill="1" applyBorder="1" applyAlignment="1">
      <alignment vertical="top" wrapText="1"/>
    </xf>
    <xf numFmtId="0" fontId="3" fillId="12" borderId="1" xfId="0" applyFont="1" applyFill="1" applyBorder="1" applyAlignment="1">
      <alignment horizontal="left" vertical="top" wrapText="1" indent="2"/>
    </xf>
    <xf numFmtId="0" fontId="3" fillId="12" borderId="1" xfId="0" applyFont="1" applyFill="1" applyBorder="1" applyAlignment="1">
      <alignment vertical="top" wrapText="1"/>
    </xf>
    <xf numFmtId="0" fontId="2" fillId="13" borderId="0" xfId="0" applyFont="1" applyFill="1" applyProtection="1">
      <alignment vertical="center"/>
    </xf>
    <xf numFmtId="0" fontId="2" fillId="13" borderId="0" xfId="0" applyFont="1" applyFill="1" applyAlignment="1" applyProtection="1">
      <alignment horizontal="center" vertical="center"/>
    </xf>
    <xf numFmtId="0" fontId="2" fillId="0" borderId="0" xfId="0" applyFont="1" applyAlignment="1" applyProtection="1">
      <alignment vertical="center" shrinkToFit="1"/>
      <protection locked="0"/>
    </xf>
    <xf numFmtId="0" fontId="19" fillId="0" borderId="0" xfId="0" applyFont="1">
      <alignment vertical="center"/>
    </xf>
    <xf numFmtId="0" fontId="20" fillId="0" borderId="0" xfId="0" applyFont="1">
      <alignment vertical="center"/>
    </xf>
    <xf numFmtId="0" fontId="0" fillId="0" borderId="0" xfId="0" applyAlignment="1">
      <alignment horizontal="right" vertical="center"/>
    </xf>
    <xf numFmtId="180" fontId="2" fillId="0" borderId="0" xfId="0" applyNumberFormat="1" applyFont="1">
      <alignment vertical="center"/>
    </xf>
    <xf numFmtId="0" fontId="2" fillId="0" borderId="0" xfId="0" applyFont="1" applyAlignment="1">
      <alignment vertical="center"/>
    </xf>
    <xf numFmtId="181" fontId="2" fillId="0" borderId="0" xfId="0" applyNumberFormat="1" applyFont="1">
      <alignment vertical="center"/>
    </xf>
    <xf numFmtId="181" fontId="2" fillId="0" borderId="0" xfId="0" applyNumberFormat="1" applyFont="1" applyProtection="1">
      <alignment vertical="center"/>
      <protection hidden="1"/>
    </xf>
    <xf numFmtId="181" fontId="5" fillId="0" borderId="0" xfId="0" applyNumberFormat="1" applyFont="1" applyFill="1" applyBorder="1" applyAlignment="1" applyProtection="1">
      <alignment horizontal="center" vertical="center" shrinkToFit="1"/>
      <protection hidden="1"/>
    </xf>
    <xf numFmtId="181" fontId="2" fillId="0" borderId="1" xfId="0" applyNumberFormat="1" applyFont="1" applyFill="1" applyBorder="1" applyAlignment="1" applyProtection="1">
      <alignment horizontal="right" vertical="center" shrinkToFit="1"/>
      <protection hidden="1"/>
    </xf>
    <xf numFmtId="0" fontId="2" fillId="0" borderId="1" xfId="0" applyFont="1" applyFill="1" applyBorder="1" applyAlignment="1" applyProtection="1">
      <alignment horizontal="right" vertical="center"/>
      <protection hidden="1"/>
    </xf>
    <xf numFmtId="177" fontId="2" fillId="0" borderId="1" xfId="0" applyNumberFormat="1" applyFont="1" applyFill="1" applyBorder="1" applyAlignment="1" applyProtection="1">
      <alignment horizontal="right" vertical="center" shrinkToFit="1"/>
      <protection hidden="1"/>
    </xf>
    <xf numFmtId="177" fontId="2" fillId="0" borderId="1" xfId="0" applyNumberFormat="1" applyFont="1" applyFill="1" applyBorder="1" applyAlignment="1" applyProtection="1">
      <alignment horizontal="right" vertical="center"/>
      <protection hidden="1"/>
    </xf>
    <xf numFmtId="176" fontId="2" fillId="0" borderId="1" xfId="0" applyNumberFormat="1" applyFont="1" applyFill="1" applyBorder="1" applyAlignment="1" applyProtection="1">
      <alignment horizontal="right" vertical="center" shrinkToFit="1"/>
      <protection hidden="1"/>
    </xf>
    <xf numFmtId="176" fontId="2" fillId="4" borderId="1" xfId="0" applyNumberFormat="1" applyFont="1" applyFill="1" applyBorder="1" applyAlignment="1" applyProtection="1">
      <alignment horizontal="right" vertical="center" shrinkToFit="1"/>
      <protection hidden="1"/>
    </xf>
    <xf numFmtId="177" fontId="2" fillId="4" borderId="1" xfId="0" applyNumberFormat="1" applyFont="1" applyFill="1" applyBorder="1" applyAlignment="1" applyProtection="1">
      <alignment horizontal="right" vertical="center" shrinkToFit="1"/>
      <protection hidden="1"/>
    </xf>
    <xf numFmtId="177" fontId="2" fillId="4" borderId="1" xfId="0" applyNumberFormat="1" applyFont="1" applyFill="1" applyBorder="1" applyAlignment="1" applyProtection="1">
      <alignment horizontal="right" vertical="center"/>
      <protection hidden="1"/>
    </xf>
    <xf numFmtId="0" fontId="2" fillId="15" borderId="1" xfId="0" applyFont="1" applyFill="1" applyBorder="1" applyAlignment="1" applyProtection="1">
      <alignment horizontal="right" vertical="center"/>
      <protection hidden="1"/>
    </xf>
    <xf numFmtId="0" fontId="23" fillId="0" borderId="0" xfId="0" applyFont="1" applyAlignment="1">
      <alignment horizontal="right" vertical="center"/>
    </xf>
    <xf numFmtId="0" fontId="25" fillId="0" borderId="0" xfId="0" applyFont="1">
      <alignment vertical="center"/>
    </xf>
    <xf numFmtId="0" fontId="2" fillId="0" borderId="2"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2" borderId="7" xfId="0" applyFont="1" applyFill="1" applyBorder="1" applyAlignment="1" applyProtection="1">
      <alignment horizontal="center" vertical="top" wrapText="1"/>
      <protection locked="0"/>
    </xf>
    <xf numFmtId="0" fontId="3" fillId="2" borderId="7" xfId="0" applyFont="1" applyFill="1" applyBorder="1" applyAlignment="1" applyProtection="1">
      <alignment horizontal="center" vertical="top" wrapText="1"/>
      <protection locked="0"/>
    </xf>
    <xf numFmtId="0" fontId="2" fillId="2" borderId="1" xfId="0" applyFont="1" applyFill="1" applyBorder="1" applyAlignment="1" applyProtection="1">
      <alignment vertical="top" wrapText="1"/>
      <protection locked="0"/>
    </xf>
    <xf numFmtId="180" fontId="2" fillId="0" borderId="0" xfId="0" applyNumberFormat="1" applyFont="1" applyProtection="1">
      <alignment vertical="center"/>
      <protection locked="0"/>
    </xf>
    <xf numFmtId="0" fontId="3" fillId="2" borderId="1" xfId="0" applyFont="1" applyFill="1" applyBorder="1" applyAlignment="1" applyProtection="1">
      <alignment vertical="top" wrapText="1"/>
      <protection locked="0"/>
    </xf>
    <xf numFmtId="0" fontId="0" fillId="0" borderId="0" xfId="0" applyNumberFormat="1" applyProtection="1">
      <alignment vertical="center"/>
      <protection locked="0"/>
    </xf>
    <xf numFmtId="0" fontId="2" fillId="0" borderId="0" xfId="0" applyFont="1" applyBorder="1" applyProtection="1">
      <alignment vertical="center"/>
      <protection locked="0"/>
    </xf>
    <xf numFmtId="0" fontId="2" fillId="0" borderId="23" xfId="0" applyFont="1" applyBorder="1" applyProtection="1">
      <alignment vertical="center"/>
      <protection locked="0"/>
    </xf>
    <xf numFmtId="0" fontId="2" fillId="0" borderId="15" xfId="0" applyFont="1" applyBorder="1" applyProtection="1">
      <alignment vertical="center"/>
      <protection locked="0"/>
    </xf>
    <xf numFmtId="0" fontId="2" fillId="0" borderId="29" xfId="0" applyFont="1" applyBorder="1" applyProtection="1">
      <alignment vertical="center"/>
      <protection locked="0"/>
    </xf>
    <xf numFmtId="0" fontId="2" fillId="0" borderId="30" xfId="0" applyFont="1" applyBorder="1" applyProtection="1">
      <alignment vertical="center"/>
      <protection locked="0"/>
    </xf>
    <xf numFmtId="0" fontId="2" fillId="6" borderId="30" xfId="0" applyFont="1" applyFill="1" applyBorder="1" applyProtection="1">
      <alignment vertical="center"/>
      <protection locked="0"/>
    </xf>
    <xf numFmtId="0" fontId="2" fillId="6" borderId="32" xfId="0" applyFont="1" applyFill="1" applyBorder="1" applyProtection="1">
      <alignment vertical="center"/>
      <protection locked="0"/>
    </xf>
    <xf numFmtId="0" fontId="2" fillId="0" borderId="32" xfId="0" applyFont="1" applyBorder="1" applyProtection="1">
      <alignment vertical="center"/>
      <protection locked="0"/>
    </xf>
    <xf numFmtId="0" fontId="2" fillId="0" borderId="30" xfId="0" applyFont="1" applyBorder="1" applyAlignment="1" applyProtection="1">
      <alignment vertical="center"/>
      <protection locked="0"/>
    </xf>
    <xf numFmtId="0" fontId="8" fillId="0" borderId="0" xfId="0" applyFont="1" applyProtection="1">
      <alignment vertical="center"/>
      <protection locked="0"/>
    </xf>
    <xf numFmtId="0" fontId="2" fillId="9" borderId="17" xfId="0" applyFont="1" applyFill="1" applyBorder="1" applyProtection="1">
      <alignment vertical="center"/>
    </xf>
    <xf numFmtId="0" fontId="2" fillId="9" borderId="0" xfId="0" applyFont="1" applyFill="1" applyBorder="1" applyProtection="1">
      <alignment vertical="center"/>
    </xf>
    <xf numFmtId="0" fontId="2" fillId="9" borderId="0" xfId="0" applyFont="1" applyFill="1" applyBorder="1" applyAlignment="1" applyProtection="1">
      <alignment horizontal="right" vertical="center"/>
    </xf>
    <xf numFmtId="177" fontId="2" fillId="9" borderId="0" xfId="0" applyNumberFormat="1" applyFont="1" applyFill="1" applyBorder="1" applyAlignment="1" applyProtection="1">
      <alignment vertical="center"/>
    </xf>
    <xf numFmtId="177" fontId="2" fillId="9" borderId="0" xfId="0" applyNumberFormat="1" applyFont="1" applyFill="1" applyBorder="1" applyAlignment="1" applyProtection="1">
      <alignment horizontal="left" vertical="center"/>
    </xf>
    <xf numFmtId="0" fontId="2" fillId="9" borderId="19" xfId="0" applyFont="1" applyFill="1" applyBorder="1" applyProtection="1">
      <alignment vertical="center"/>
    </xf>
    <xf numFmtId="179" fontId="8" fillId="9" borderId="0" xfId="0" applyNumberFormat="1" applyFont="1" applyFill="1" applyBorder="1" applyAlignment="1" applyProtection="1">
      <alignment vertical="center" shrinkToFit="1"/>
    </xf>
    <xf numFmtId="0" fontId="28" fillId="0" borderId="0" xfId="0" applyFont="1" applyProtection="1">
      <alignment vertical="center"/>
      <protection locked="0"/>
    </xf>
    <xf numFmtId="0" fontId="2" fillId="12" borderId="1" xfId="0" applyFont="1" applyFill="1" applyBorder="1" applyAlignment="1" applyProtection="1">
      <alignment horizontal="center" vertical="top" wrapText="1"/>
      <protection locked="0"/>
    </xf>
    <xf numFmtId="49" fontId="2" fillId="12" borderId="1" xfId="0" applyNumberFormat="1" applyFont="1" applyFill="1" applyBorder="1" applyAlignment="1" applyProtection="1">
      <alignment horizontal="center" vertical="top" wrapText="1"/>
      <protection locked="0"/>
    </xf>
    <xf numFmtId="0" fontId="2" fillId="9" borderId="0" xfId="0" applyFont="1" applyFill="1" applyBorder="1" applyAlignment="1" applyProtection="1">
      <alignment horizontal="center" vertical="center"/>
    </xf>
    <xf numFmtId="0" fontId="2" fillId="5" borderId="10" xfId="0" applyFont="1" applyFill="1" applyBorder="1" applyProtection="1">
      <alignment vertical="center"/>
    </xf>
    <xf numFmtId="0" fontId="2" fillId="5" borderId="11" xfId="0" applyFont="1" applyFill="1" applyBorder="1" applyAlignment="1" applyProtection="1">
      <alignment horizontal="center" vertical="center"/>
    </xf>
    <xf numFmtId="0" fontId="2" fillId="5" borderId="11" xfId="0" applyFont="1" applyFill="1" applyBorder="1" applyProtection="1">
      <alignment vertical="center"/>
    </xf>
    <xf numFmtId="0" fontId="2" fillId="5" borderId="12" xfId="0" applyFont="1" applyFill="1" applyBorder="1" applyProtection="1">
      <alignment vertical="center"/>
    </xf>
    <xf numFmtId="0" fontId="2" fillId="8" borderId="10" xfId="0" applyFont="1" applyFill="1" applyBorder="1" applyProtection="1">
      <alignment vertical="center"/>
    </xf>
    <xf numFmtId="0" fontId="2" fillId="8" borderId="11" xfId="0" applyFont="1" applyFill="1" applyBorder="1" applyProtection="1">
      <alignment vertical="center"/>
    </xf>
    <xf numFmtId="0" fontId="2" fillId="8" borderId="12" xfId="0" applyFont="1" applyFill="1" applyBorder="1" applyProtection="1">
      <alignment vertical="center"/>
    </xf>
    <xf numFmtId="0" fontId="2" fillId="9" borderId="17" xfId="0" applyFont="1" applyFill="1" applyBorder="1" applyAlignment="1" applyProtection="1">
      <alignment vertical="center"/>
    </xf>
    <xf numFmtId="0" fontId="2" fillId="9" borderId="0" xfId="0" applyFont="1" applyFill="1" applyBorder="1" applyAlignment="1" applyProtection="1">
      <alignment vertical="center"/>
    </xf>
    <xf numFmtId="0" fontId="2" fillId="3" borderId="0" xfId="0" applyFont="1" applyFill="1" applyBorder="1" applyProtection="1">
      <alignment vertical="center"/>
    </xf>
    <xf numFmtId="0" fontId="2" fillId="5" borderId="0" xfId="0" applyFont="1" applyFill="1" applyBorder="1" applyProtection="1">
      <alignment vertical="center"/>
    </xf>
    <xf numFmtId="0" fontId="2" fillId="8" borderId="0" xfId="0" applyFont="1" applyFill="1" applyBorder="1" applyProtection="1">
      <alignment vertical="center"/>
    </xf>
    <xf numFmtId="0" fontId="2" fillId="0" borderId="23" xfId="0" applyFont="1" applyBorder="1" applyProtection="1">
      <alignment vertical="center"/>
    </xf>
    <xf numFmtId="0" fontId="2" fillId="0" borderId="30" xfId="0" applyFont="1" applyBorder="1" applyProtection="1">
      <alignment vertical="center"/>
    </xf>
    <xf numFmtId="0" fontId="2" fillId="3" borderId="20" xfId="0" applyFont="1" applyFill="1" applyBorder="1" applyProtection="1">
      <alignment vertical="center"/>
    </xf>
    <xf numFmtId="0" fontId="2" fillId="3" borderId="13" xfId="0" applyFont="1" applyFill="1" applyBorder="1" applyAlignment="1" applyProtection="1">
      <alignment horizontal="right" vertical="center"/>
    </xf>
    <xf numFmtId="0" fontId="2" fillId="3" borderId="16" xfId="0" applyFont="1" applyFill="1" applyBorder="1" applyAlignment="1" applyProtection="1">
      <alignment horizontal="left" vertical="center"/>
    </xf>
    <xf numFmtId="0" fontId="2" fillId="3" borderId="13" xfId="0" applyFont="1" applyFill="1" applyBorder="1" applyProtection="1">
      <alignment vertical="center"/>
    </xf>
    <xf numFmtId="0" fontId="2" fillId="3" borderId="18" xfId="0" applyFont="1" applyFill="1" applyBorder="1" applyProtection="1">
      <alignment vertical="center"/>
    </xf>
    <xf numFmtId="0" fontId="2" fillId="3" borderId="0" xfId="0" applyFont="1" applyFill="1" applyBorder="1" applyAlignment="1" applyProtection="1">
      <alignment horizontal="right" vertical="center"/>
    </xf>
    <xf numFmtId="0" fontId="2" fillId="3" borderId="6" xfId="0" applyFont="1" applyFill="1" applyBorder="1" applyAlignment="1" applyProtection="1">
      <alignment horizontal="center"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center" vertical="center"/>
    </xf>
    <xf numFmtId="0" fontId="2" fillId="0" borderId="23" xfId="0" quotePrefix="1" applyFont="1" applyBorder="1" applyAlignment="1" applyProtection="1">
      <alignment horizontal="right" vertical="center"/>
    </xf>
    <xf numFmtId="0" fontId="2" fillId="15" borderId="24" xfId="0" applyFont="1" applyFill="1" applyBorder="1" applyProtection="1">
      <alignment vertical="center"/>
    </xf>
    <xf numFmtId="0" fontId="2" fillId="15" borderId="25" xfId="0" quotePrefix="1" applyFont="1" applyFill="1" applyBorder="1" applyAlignment="1" applyProtection="1">
      <alignment horizontal="right" vertical="center"/>
    </xf>
    <xf numFmtId="0" fontId="2" fillId="15" borderId="26" xfId="0" applyFont="1" applyFill="1" applyBorder="1" applyProtection="1">
      <alignment vertical="center"/>
    </xf>
    <xf numFmtId="0" fontId="2" fillId="0" borderId="28" xfId="0" applyFont="1" applyBorder="1" applyProtection="1">
      <alignment vertical="center"/>
    </xf>
    <xf numFmtId="0" fontId="2" fillId="0" borderId="0" xfId="0" applyFont="1" applyProtection="1">
      <alignment vertical="center"/>
    </xf>
    <xf numFmtId="0" fontId="2" fillId="15" borderId="36" xfId="0" applyFont="1" applyFill="1" applyBorder="1" applyAlignment="1" applyProtection="1">
      <alignment vertical="center"/>
    </xf>
    <xf numFmtId="0" fontId="2" fillId="15" borderId="37" xfId="0" applyFont="1" applyFill="1" applyBorder="1" applyAlignment="1" applyProtection="1">
      <alignment vertical="center"/>
    </xf>
    <xf numFmtId="0" fontId="2" fillId="15" borderId="37" xfId="0" quotePrefix="1" applyFont="1" applyFill="1" applyBorder="1" applyAlignment="1" applyProtection="1">
      <alignment vertical="center"/>
    </xf>
    <xf numFmtId="0" fontId="2" fillId="15" borderId="38" xfId="0" applyFont="1" applyFill="1" applyBorder="1" applyAlignment="1" applyProtection="1">
      <alignment vertical="center"/>
    </xf>
    <xf numFmtId="0" fontId="2" fillId="0" borderId="0" xfId="0" applyFont="1" applyAlignment="1" applyProtection="1">
      <alignment horizontal="left" vertical="center"/>
    </xf>
    <xf numFmtId="0" fontId="2" fillId="0" borderId="0" xfId="0" applyFont="1" applyBorder="1" applyAlignment="1" applyProtection="1">
      <alignment vertical="center" shrinkToFit="1"/>
      <protection locked="0"/>
    </xf>
    <xf numFmtId="0" fontId="2" fillId="5" borderId="11" xfId="0" applyFont="1" applyFill="1" applyBorder="1" applyAlignment="1" applyProtection="1">
      <alignment horizontal="center" vertical="center" shrinkToFit="1"/>
    </xf>
    <xf numFmtId="0" fontId="2" fillId="5" borderId="11" xfId="0" applyFont="1" applyFill="1" applyBorder="1" applyAlignment="1" applyProtection="1">
      <alignment vertical="center" shrinkToFit="1"/>
    </xf>
    <xf numFmtId="0" fontId="2" fillId="5" borderId="12" xfId="0" applyFont="1" applyFill="1" applyBorder="1" applyAlignment="1" applyProtection="1">
      <alignment vertical="center" shrinkToFit="1"/>
    </xf>
    <xf numFmtId="0" fontId="2" fillId="8" borderId="10" xfId="0" applyFont="1" applyFill="1" applyBorder="1" applyAlignment="1" applyProtection="1">
      <alignment vertical="center" shrinkToFit="1"/>
    </xf>
    <xf numFmtId="0" fontId="2" fillId="8" borderId="11" xfId="0" applyFont="1" applyFill="1" applyBorder="1" applyAlignment="1" applyProtection="1">
      <alignment vertical="center" shrinkToFit="1"/>
    </xf>
    <xf numFmtId="0" fontId="2" fillId="8" borderId="12" xfId="0" applyFont="1" applyFill="1" applyBorder="1" applyAlignment="1" applyProtection="1">
      <alignment vertical="center" shrinkToFit="1"/>
    </xf>
    <xf numFmtId="0" fontId="2" fillId="0" borderId="15" xfId="0" applyFont="1" applyBorder="1" applyAlignment="1" applyProtection="1">
      <alignment vertical="center" shrinkToFit="1"/>
      <protection locked="0"/>
    </xf>
    <xf numFmtId="0" fontId="2" fillId="9" borderId="17" xfId="0" applyFont="1" applyFill="1" applyBorder="1" applyAlignment="1" applyProtection="1">
      <alignment vertical="center" shrinkToFit="1"/>
    </xf>
    <xf numFmtId="0" fontId="2" fillId="9" borderId="0" xfId="0" applyFont="1" applyFill="1" applyBorder="1" applyAlignment="1" applyProtection="1">
      <alignment vertical="center" shrinkToFit="1"/>
    </xf>
    <xf numFmtId="0" fontId="2" fillId="5" borderId="0" xfId="0" applyFont="1" applyFill="1" applyBorder="1" applyAlignment="1" applyProtection="1">
      <alignment vertical="center" shrinkToFit="1"/>
    </xf>
    <xf numFmtId="178" fontId="2" fillId="5" borderId="5" xfId="0" applyNumberFormat="1" applyFont="1" applyFill="1" applyBorder="1" applyAlignment="1" applyProtection="1">
      <alignment vertical="center" shrinkToFit="1"/>
    </xf>
    <xf numFmtId="178" fontId="8" fillId="5" borderId="5" xfId="0" applyNumberFormat="1" applyFont="1" applyFill="1" applyBorder="1" applyAlignment="1" applyProtection="1">
      <alignment vertical="center" shrinkToFit="1"/>
    </xf>
    <xf numFmtId="0" fontId="2" fillId="8" borderId="0" xfId="0" applyFont="1" applyFill="1" applyBorder="1" applyAlignment="1" applyProtection="1">
      <alignment vertical="center" shrinkToFit="1"/>
    </xf>
    <xf numFmtId="0" fontId="2" fillId="9" borderId="0" xfId="0" applyFont="1" applyFill="1" applyBorder="1" applyAlignment="1" applyProtection="1">
      <alignment horizontal="right" vertical="center" shrinkToFit="1"/>
    </xf>
    <xf numFmtId="177" fontId="2" fillId="9" borderId="0" xfId="0" applyNumberFormat="1" applyFont="1" applyFill="1" applyBorder="1" applyAlignment="1" applyProtection="1">
      <alignment vertical="center" shrinkToFit="1"/>
    </xf>
    <xf numFmtId="0" fontId="2" fillId="7" borderId="20" xfId="0" applyFont="1" applyFill="1" applyBorder="1" applyAlignment="1" applyProtection="1">
      <alignment vertical="center" shrinkToFit="1"/>
    </xf>
    <xf numFmtId="0" fontId="8" fillId="7" borderId="13" xfId="0" applyFont="1" applyFill="1" applyBorder="1" applyAlignment="1" applyProtection="1">
      <alignment horizontal="right" vertical="center" shrinkToFit="1"/>
    </xf>
    <xf numFmtId="0" fontId="2" fillId="7" borderId="16" xfId="0" applyFont="1" applyFill="1" applyBorder="1" applyAlignment="1" applyProtection="1">
      <alignment horizontal="left" vertical="center" shrinkToFit="1"/>
    </xf>
    <xf numFmtId="177" fontId="2" fillId="9" borderId="0" xfId="0" applyNumberFormat="1" applyFont="1" applyFill="1" applyBorder="1" applyAlignment="1" applyProtection="1">
      <alignment horizontal="left" vertical="center" shrinkToFit="1"/>
    </xf>
    <xf numFmtId="0" fontId="2" fillId="9" borderId="19" xfId="0" applyFont="1" applyFill="1" applyBorder="1" applyAlignment="1" applyProtection="1">
      <alignment vertical="center" shrinkToFit="1"/>
    </xf>
    <xf numFmtId="0" fontId="2" fillId="7" borderId="13" xfId="0" applyFont="1" applyFill="1" applyBorder="1" applyAlignment="1" applyProtection="1">
      <alignment vertical="center" shrinkToFit="1"/>
    </xf>
    <xf numFmtId="0" fontId="8" fillId="9" borderId="0" xfId="0" applyFont="1" applyFill="1" applyBorder="1" applyAlignment="1" applyProtection="1">
      <alignment vertical="center" shrinkToFit="1"/>
    </xf>
    <xf numFmtId="0" fontId="2" fillId="7" borderId="18" xfId="0" applyFont="1" applyFill="1" applyBorder="1" applyAlignment="1" applyProtection="1">
      <alignment vertical="center" shrinkToFit="1"/>
    </xf>
    <xf numFmtId="0" fontId="2" fillId="7" borderId="0" xfId="0" applyFont="1" applyFill="1" applyBorder="1" applyAlignment="1" applyProtection="1">
      <alignment horizontal="right" vertical="center" shrinkToFit="1"/>
    </xf>
    <xf numFmtId="0" fontId="2" fillId="7" borderId="6" xfId="0" applyFont="1" applyFill="1" applyBorder="1" applyAlignment="1" applyProtection="1">
      <alignment vertical="center" shrinkToFit="1"/>
    </xf>
    <xf numFmtId="0" fontId="8" fillId="9" borderId="0" xfId="0" applyFont="1" applyFill="1" applyBorder="1" applyAlignment="1" applyProtection="1">
      <alignment horizontal="right" vertical="center" shrinkToFit="1"/>
    </xf>
    <xf numFmtId="0" fontId="8" fillId="9" borderId="0" xfId="0" applyFont="1" applyFill="1" applyBorder="1" applyAlignment="1" applyProtection="1">
      <alignment horizontal="left" vertical="center" shrinkToFit="1"/>
    </xf>
    <xf numFmtId="0" fontId="2" fillId="7" borderId="0" xfId="0" applyFont="1" applyFill="1" applyBorder="1" applyAlignment="1" applyProtection="1">
      <alignment vertical="center" shrinkToFit="1"/>
    </xf>
    <xf numFmtId="0" fontId="2" fillId="7" borderId="0" xfId="0" applyFont="1" applyFill="1" applyBorder="1" applyAlignment="1" applyProtection="1">
      <alignment horizontal="left" vertical="center" shrinkToFit="1"/>
    </xf>
    <xf numFmtId="0" fontId="2" fillId="0" borderId="22" xfId="0" applyFont="1" applyBorder="1" applyAlignment="1" applyProtection="1">
      <alignment vertical="center" shrinkToFit="1"/>
    </xf>
    <xf numFmtId="0" fontId="2" fillId="0" borderId="23" xfId="0" applyFont="1" applyBorder="1" applyAlignment="1" applyProtection="1">
      <alignment vertical="center" shrinkToFit="1"/>
    </xf>
    <xf numFmtId="0" fontId="2" fillId="7" borderId="24" xfId="0" applyFont="1" applyFill="1" applyBorder="1" applyAlignment="1" applyProtection="1">
      <alignment vertical="center" shrinkToFit="1"/>
    </xf>
    <xf numFmtId="0" fontId="2" fillId="7" borderId="25" xfId="0" quotePrefix="1" applyFont="1" applyFill="1" applyBorder="1" applyAlignment="1" applyProtection="1">
      <alignment horizontal="right" vertical="center" shrinkToFit="1"/>
    </xf>
    <xf numFmtId="0" fontId="2" fillId="7" borderId="26" xfId="0" applyFont="1" applyFill="1" applyBorder="1" applyAlignment="1" applyProtection="1">
      <alignment vertical="center" shrinkToFit="1"/>
    </xf>
    <xf numFmtId="0" fontId="2" fillId="11" borderId="25" xfId="0" applyFont="1" applyFill="1" applyBorder="1" applyAlignment="1" applyProtection="1">
      <alignment horizontal="center" vertical="center" shrinkToFit="1"/>
    </xf>
    <xf numFmtId="0" fontId="2" fillId="11" borderId="25" xfId="0" applyFont="1" applyFill="1" applyBorder="1" applyAlignment="1" applyProtection="1">
      <alignment vertical="center" shrinkToFit="1"/>
    </xf>
    <xf numFmtId="177" fontId="2" fillId="11" borderId="25" xfId="0" applyNumberFormat="1" applyFont="1" applyFill="1" applyBorder="1" applyAlignment="1" applyProtection="1">
      <alignment vertical="center" shrinkToFit="1"/>
    </xf>
    <xf numFmtId="0" fontId="2" fillId="7" borderId="23" xfId="0" applyFont="1" applyFill="1" applyBorder="1" applyAlignment="1" applyProtection="1">
      <alignment vertical="center" shrinkToFit="1"/>
    </xf>
    <xf numFmtId="0" fontId="2" fillId="7" borderId="28" xfId="0" applyFont="1" applyFill="1" applyBorder="1" applyAlignment="1" applyProtection="1">
      <alignment vertical="center" shrinkToFit="1"/>
    </xf>
    <xf numFmtId="0" fontId="2" fillId="0" borderId="30" xfId="0" applyFont="1" applyBorder="1" applyAlignment="1" applyProtection="1">
      <alignment vertical="center" shrinkToFit="1"/>
      <protection locked="0"/>
    </xf>
    <xf numFmtId="0" fontId="2" fillId="0" borderId="0" xfId="0" applyFont="1" applyAlignment="1" applyProtection="1">
      <alignment horizontal="left" vertical="center" shrinkToFit="1"/>
      <protection locked="0"/>
    </xf>
    <xf numFmtId="0" fontId="8" fillId="0" borderId="0" xfId="0" applyFont="1" applyAlignment="1" applyProtection="1">
      <alignment horizontal="left" vertical="center" shrinkToFit="1"/>
      <protection locked="0"/>
    </xf>
    <xf numFmtId="178" fontId="2" fillId="0" borderId="0" xfId="0" applyNumberFormat="1" applyFont="1" applyAlignment="1" applyProtection="1">
      <alignment vertical="center" shrinkToFit="1"/>
      <protection locked="0"/>
    </xf>
    <xf numFmtId="183" fontId="2" fillId="7" borderId="15" xfId="0" applyNumberFormat="1" applyFont="1" applyFill="1" applyBorder="1" applyAlignment="1" applyProtection="1">
      <alignment horizontal="left" vertical="center" shrinkToFit="1"/>
    </xf>
    <xf numFmtId="0" fontId="2" fillId="7" borderId="6" xfId="0" applyFont="1" applyFill="1" applyBorder="1" applyAlignment="1" applyProtection="1">
      <alignment horizontal="center" vertical="center" shrinkToFit="1"/>
    </xf>
    <xf numFmtId="0" fontId="2" fillId="0" borderId="23" xfId="0" quotePrefix="1" applyFont="1" applyBorder="1" applyAlignment="1" applyProtection="1">
      <alignment horizontal="right" vertical="center" shrinkToFit="1"/>
    </xf>
    <xf numFmtId="0" fontId="2" fillId="7" borderId="23" xfId="0" quotePrefix="1" applyFont="1" applyFill="1" applyBorder="1" applyAlignment="1" applyProtection="1">
      <alignment horizontal="right" vertical="center" shrinkToFit="1"/>
    </xf>
    <xf numFmtId="178" fontId="2" fillId="0" borderId="0" xfId="0" applyNumberFormat="1" applyFont="1" applyAlignment="1" applyProtection="1">
      <alignment horizontal="left" vertical="center" shrinkToFit="1"/>
      <protection locked="0"/>
    </xf>
    <xf numFmtId="178" fontId="2" fillId="17" borderId="3" xfId="0" applyNumberFormat="1" applyFont="1" applyFill="1" applyBorder="1" applyAlignment="1" applyProtection="1">
      <alignment horizontal="left" vertical="center" shrinkToFit="1"/>
      <protection locked="0"/>
    </xf>
    <xf numFmtId="0" fontId="2" fillId="17" borderId="14" xfId="0" applyFont="1" applyFill="1" applyBorder="1" applyAlignment="1" applyProtection="1">
      <alignment vertical="center" shrinkToFit="1"/>
      <protection locked="0"/>
    </xf>
    <xf numFmtId="178" fontId="2" fillId="17" borderId="4" xfId="0" applyNumberFormat="1" applyFont="1" applyFill="1" applyBorder="1" applyAlignment="1" applyProtection="1">
      <alignment vertical="center" shrinkToFit="1"/>
      <protection locked="0"/>
    </xf>
    <xf numFmtId="178" fontId="2" fillId="5" borderId="3" xfId="0" applyNumberFormat="1" applyFont="1" applyFill="1" applyBorder="1" applyAlignment="1" applyProtection="1">
      <alignment horizontal="left" vertical="center" shrinkToFit="1"/>
      <protection locked="0"/>
    </xf>
    <xf numFmtId="0" fontId="2" fillId="5" borderId="14" xfId="0" applyFont="1" applyFill="1" applyBorder="1" applyAlignment="1" applyProtection="1">
      <alignment vertical="center" shrinkToFit="1"/>
      <protection locked="0"/>
    </xf>
    <xf numFmtId="178" fontId="2" fillId="5" borderId="4" xfId="0" applyNumberFormat="1" applyFont="1" applyFill="1" applyBorder="1" applyAlignment="1" applyProtection="1">
      <alignment vertical="center" shrinkToFit="1"/>
      <protection locked="0"/>
    </xf>
    <xf numFmtId="178" fontId="16" fillId="5" borderId="4" xfId="0" applyNumberFormat="1" applyFont="1" applyFill="1" applyBorder="1" applyAlignment="1">
      <alignment vertical="center" shrinkToFit="1"/>
    </xf>
    <xf numFmtId="178" fontId="16" fillId="17" borderId="3" xfId="0" applyNumberFormat="1" applyFont="1" applyFill="1" applyBorder="1" applyAlignment="1">
      <alignment horizontal="left" vertical="center" shrinkToFit="1"/>
    </xf>
    <xf numFmtId="0" fontId="8" fillId="9" borderId="0" xfId="0" applyFont="1" applyFill="1" applyBorder="1" applyAlignment="1" applyProtection="1">
      <alignment horizontal="center" vertical="center" shrinkToFit="1"/>
    </xf>
    <xf numFmtId="0" fontId="2" fillId="5" borderId="10" xfId="0" applyFont="1" applyFill="1" applyBorder="1" applyAlignment="1" applyProtection="1">
      <alignment horizontal="center" vertical="center" shrinkToFit="1"/>
    </xf>
    <xf numFmtId="178" fontId="8" fillId="5" borderId="50" xfId="0" applyNumberFormat="1" applyFont="1" applyFill="1" applyBorder="1" applyAlignment="1">
      <alignment horizontal="left" vertical="center" shrinkToFit="1"/>
    </xf>
    <xf numFmtId="178" fontId="16" fillId="5" borderId="51" xfId="0" applyNumberFormat="1" applyFont="1" applyFill="1" applyBorder="1" applyAlignment="1">
      <alignment vertical="center" shrinkToFit="1"/>
    </xf>
    <xf numFmtId="178" fontId="16" fillId="17" borderId="52" xfId="0" applyNumberFormat="1" applyFont="1" applyFill="1" applyBorder="1" applyAlignment="1">
      <alignment horizontal="left" vertical="center" shrinkToFit="1"/>
    </xf>
    <xf numFmtId="178" fontId="29" fillId="17" borderId="53" xfId="0" applyNumberFormat="1" applyFont="1" applyFill="1" applyBorder="1" applyAlignment="1">
      <alignment vertical="center" shrinkToFit="1"/>
    </xf>
    <xf numFmtId="178" fontId="8" fillId="5" borderId="14" xfId="0" applyNumberFormat="1" applyFont="1" applyFill="1" applyBorder="1" applyAlignment="1">
      <alignment horizontal="left" vertical="center" shrinkToFit="1"/>
    </xf>
    <xf numFmtId="178" fontId="8" fillId="17" borderId="50" xfId="0" applyNumberFormat="1" applyFont="1" applyFill="1" applyBorder="1" applyAlignment="1">
      <alignment horizontal="left" vertical="center" shrinkToFit="1"/>
    </xf>
    <xf numFmtId="178" fontId="16" fillId="17" borderId="51" xfId="0" applyNumberFormat="1" applyFont="1" applyFill="1" applyBorder="1" applyAlignment="1">
      <alignment vertical="center" shrinkToFit="1"/>
    </xf>
    <xf numFmtId="178" fontId="16" fillId="5" borderId="52" xfId="0" applyNumberFormat="1" applyFont="1" applyFill="1" applyBorder="1" applyAlignment="1">
      <alignment horizontal="left" vertical="center" shrinkToFit="1"/>
    </xf>
    <xf numFmtId="178" fontId="29" fillId="5" borderId="53" xfId="0" applyNumberFormat="1" applyFont="1" applyFill="1" applyBorder="1" applyAlignment="1">
      <alignment vertical="center" shrinkToFit="1"/>
    </xf>
    <xf numFmtId="178" fontId="29" fillId="17" borderId="14" xfId="0" applyNumberFormat="1" applyFont="1" applyFill="1" applyBorder="1" applyAlignment="1">
      <alignment vertical="center" shrinkToFit="1"/>
    </xf>
    <xf numFmtId="0" fontId="3" fillId="0" borderId="0" xfId="0" applyFont="1">
      <alignment vertical="center"/>
    </xf>
    <xf numFmtId="0" fontId="3" fillId="0" borderId="0" xfId="0" applyFont="1" applyAlignment="1">
      <alignment vertical="center"/>
    </xf>
    <xf numFmtId="178" fontId="8" fillId="17" borderId="58" xfId="0" applyNumberFormat="1" applyFont="1" applyFill="1" applyBorder="1" applyAlignment="1">
      <alignment horizontal="left" vertical="center" shrinkToFit="1"/>
    </xf>
    <xf numFmtId="178" fontId="16" fillId="17" borderId="9" xfId="0" applyNumberFormat="1" applyFont="1" applyFill="1" applyBorder="1" applyAlignment="1">
      <alignment vertical="center" shrinkToFit="1"/>
    </xf>
    <xf numFmtId="0" fontId="2" fillId="15" borderId="25" xfId="0" applyFont="1" applyFill="1" applyBorder="1" applyAlignment="1" applyProtection="1">
      <alignment vertical="center"/>
    </xf>
    <xf numFmtId="0" fontId="2" fillId="15" borderId="25" xfId="0" applyFont="1" applyFill="1" applyBorder="1" applyAlignment="1" applyProtection="1">
      <alignment horizontal="center" vertical="center"/>
    </xf>
    <xf numFmtId="0" fontId="2" fillId="0" borderId="23" xfId="0" applyFont="1" applyBorder="1" applyAlignment="1" applyProtection="1">
      <alignment vertical="center"/>
    </xf>
    <xf numFmtId="0" fontId="2" fillId="0" borderId="23" xfId="0" applyFont="1" applyBorder="1" applyAlignment="1" applyProtection="1">
      <alignment horizontal="center" vertical="center"/>
    </xf>
    <xf numFmtId="0" fontId="3" fillId="0" borderId="13" xfId="0" applyFont="1" applyBorder="1">
      <alignment vertical="center"/>
    </xf>
    <xf numFmtId="0" fontId="2" fillId="9" borderId="0" xfId="0" quotePrefix="1" applyFont="1" applyFill="1" applyBorder="1" applyAlignment="1" applyProtection="1">
      <alignment horizontal="center" vertical="center"/>
    </xf>
    <xf numFmtId="178" fontId="8" fillId="5" borderId="65" xfId="0" applyNumberFormat="1" applyFont="1" applyFill="1" applyBorder="1" applyAlignment="1">
      <alignment horizontal="left" vertical="center" shrinkToFit="1"/>
    </xf>
    <xf numFmtId="178" fontId="29" fillId="17" borderId="65" xfId="0" applyNumberFormat="1" applyFont="1" applyFill="1" applyBorder="1" applyAlignment="1">
      <alignment vertical="center" shrinkToFit="1"/>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8" fillId="0" borderId="0" xfId="0" applyFont="1" applyAlignment="1">
      <alignment horizontal="left" vertical="center"/>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2" fillId="15" borderId="37" xfId="0" applyFont="1" applyFill="1" applyBorder="1" applyAlignment="1" applyProtection="1">
      <alignment horizontal="center" vertical="center"/>
    </xf>
    <xf numFmtId="0" fontId="8" fillId="0" borderId="1" xfId="0" applyFont="1" applyBorder="1" applyAlignment="1">
      <alignment horizontal="center" vertical="center"/>
    </xf>
    <xf numFmtId="0" fontId="2" fillId="0" borderId="1" xfId="0" applyNumberFormat="1" applyFont="1" applyBorder="1" applyAlignment="1">
      <alignment horizontal="center" vertical="center"/>
    </xf>
    <xf numFmtId="176" fontId="2" fillId="4" borderId="1" xfId="0" applyNumberFormat="1" applyFont="1" applyFill="1" applyBorder="1" applyAlignment="1" applyProtection="1">
      <alignment horizontal="right" vertical="center" shrinkToFit="1"/>
      <protection locked="0"/>
    </xf>
    <xf numFmtId="0" fontId="2" fillId="15" borderId="1" xfId="0" applyFont="1" applyFill="1" applyBorder="1" applyAlignment="1" applyProtection="1">
      <alignment horizontal="right" vertical="center"/>
      <protection locked="0"/>
    </xf>
    <xf numFmtId="177" fontId="2" fillId="4" borderId="1" xfId="0" applyNumberFormat="1" applyFont="1" applyFill="1" applyBorder="1" applyAlignment="1" applyProtection="1">
      <alignment horizontal="right" vertical="center" shrinkToFit="1"/>
      <protection locked="0"/>
    </xf>
    <xf numFmtId="177" fontId="2" fillId="4" borderId="1" xfId="0" applyNumberFormat="1" applyFont="1" applyFill="1" applyBorder="1" applyAlignment="1" applyProtection="1">
      <alignment horizontal="right" vertical="center"/>
      <protection locked="0"/>
    </xf>
    <xf numFmtId="176" fontId="2" fillId="0" borderId="1" xfId="0" applyNumberFormat="1" applyFont="1" applyFill="1" applyBorder="1" applyAlignment="1" applyProtection="1">
      <alignment horizontal="right" vertical="center" shrinkToFit="1"/>
      <protection locked="0"/>
    </xf>
    <xf numFmtId="181" fontId="2" fillId="0" borderId="1" xfId="0" applyNumberFormat="1" applyFont="1" applyFill="1" applyBorder="1" applyAlignment="1" applyProtection="1">
      <alignment horizontal="right" vertical="center" shrinkToFit="1"/>
      <protection locked="0"/>
    </xf>
    <xf numFmtId="0" fontId="2" fillId="0" borderId="1" xfId="0" applyFont="1" applyFill="1" applyBorder="1" applyAlignment="1" applyProtection="1">
      <alignment horizontal="right" vertical="center"/>
      <protection locked="0"/>
    </xf>
    <xf numFmtId="177" fontId="2" fillId="0" borderId="1" xfId="0" applyNumberFormat="1" applyFont="1" applyFill="1" applyBorder="1" applyAlignment="1" applyProtection="1">
      <alignment horizontal="right" vertical="center" shrinkToFit="1"/>
      <protection locked="0"/>
    </xf>
    <xf numFmtId="177" fontId="2" fillId="0" borderId="1" xfId="0" applyNumberFormat="1" applyFont="1" applyFill="1" applyBorder="1" applyAlignment="1" applyProtection="1">
      <alignment horizontal="right" vertical="center"/>
      <protection locked="0"/>
    </xf>
    <xf numFmtId="0" fontId="8" fillId="0" borderId="1" xfId="0" applyFont="1" applyBorder="1" applyAlignment="1" applyProtection="1">
      <alignment horizontal="center" vertical="center"/>
      <protection locked="0"/>
    </xf>
    <xf numFmtId="181" fontId="2" fillId="7" borderId="1" xfId="0" applyNumberFormat="1" applyFont="1" applyFill="1" applyBorder="1" applyAlignment="1" applyProtection="1">
      <alignment horizontal="right" vertical="center" shrinkToFit="1"/>
      <protection hidden="1"/>
    </xf>
    <xf numFmtId="181" fontId="2" fillId="4" borderId="7" xfId="0" applyNumberFormat="1" applyFont="1" applyFill="1" applyBorder="1" applyAlignment="1" applyProtection="1">
      <alignment horizontal="center" vertical="top"/>
      <protection hidden="1"/>
    </xf>
    <xf numFmtId="57" fontId="2" fillId="0" borderId="1" xfId="0" applyNumberFormat="1" applyFont="1" applyBorder="1" applyAlignment="1" applyProtection="1">
      <alignment vertical="center" shrinkToFit="1"/>
      <protection locked="0"/>
    </xf>
    <xf numFmtId="0" fontId="2" fillId="0" borderId="0" xfId="0" applyFont="1" applyAlignment="1" applyProtection="1">
      <alignment horizontal="center" vertical="center"/>
      <protection hidden="1"/>
    </xf>
    <xf numFmtId="0" fontId="2" fillId="7" borderId="1" xfId="0" applyFont="1" applyFill="1" applyBorder="1" applyAlignment="1" applyProtection="1">
      <alignment horizontal="center" vertical="center" shrinkToFit="1"/>
      <protection hidden="1"/>
    </xf>
    <xf numFmtId="0" fontId="2" fillId="0" borderId="1" xfId="0" applyFont="1" applyFill="1" applyBorder="1" applyAlignment="1" applyProtection="1">
      <alignment horizontal="center" vertical="center" shrinkToFit="1"/>
      <protection hidden="1"/>
    </xf>
    <xf numFmtId="57" fontId="2" fillId="0" borderId="1" xfId="0" applyNumberFormat="1" applyFont="1" applyBorder="1" applyAlignment="1" applyProtection="1">
      <alignment horizontal="center" vertical="center" shrinkToFit="1"/>
      <protection locked="0"/>
    </xf>
    <xf numFmtId="0" fontId="2" fillId="7" borderId="1" xfId="0" applyFont="1" applyFill="1" applyBorder="1" applyAlignment="1" applyProtection="1">
      <alignment horizontal="center" vertical="center" wrapText="1" shrinkToFit="1"/>
      <protection hidden="1"/>
    </xf>
    <xf numFmtId="181" fontId="2" fillId="7" borderId="1" xfId="0" applyNumberFormat="1" applyFont="1" applyFill="1" applyBorder="1" applyAlignment="1" applyProtection="1">
      <alignment horizontal="right" vertical="center" shrinkToFit="1"/>
      <protection locked="0"/>
    </xf>
    <xf numFmtId="0" fontId="2" fillId="12" borderId="7" xfId="0" applyFont="1" applyFill="1" applyBorder="1" applyAlignment="1" applyProtection="1">
      <alignment horizontal="center" vertical="center" shrinkToFit="1"/>
      <protection locked="0"/>
    </xf>
    <xf numFmtId="0" fontId="2" fillId="4" borderId="7" xfId="0" applyFont="1" applyFill="1" applyBorder="1" applyAlignment="1" applyProtection="1">
      <alignment horizontal="center" vertical="center" wrapText="1" shrinkToFit="1"/>
      <protection hidden="1"/>
    </xf>
    <xf numFmtId="0" fontId="8" fillId="0" borderId="71" xfId="0" applyNumberFormat="1" applyFont="1" applyFill="1" applyBorder="1" applyAlignment="1" applyProtection="1">
      <alignment horizontal="center" vertical="center"/>
      <protection locked="0"/>
    </xf>
    <xf numFmtId="0" fontId="2" fillId="12" borderId="1" xfId="0" applyFont="1" applyFill="1" applyBorder="1" applyAlignment="1" applyProtection="1">
      <alignment horizontal="right" vertical="center"/>
      <protection locked="0"/>
    </xf>
    <xf numFmtId="0" fontId="2" fillId="15" borderId="1" xfId="0" applyNumberFormat="1" applyFont="1" applyFill="1" applyBorder="1" applyAlignment="1" applyProtection="1">
      <alignment horizontal="center" vertical="top" wrapText="1" shrinkToFit="1"/>
      <protection hidden="1"/>
    </xf>
    <xf numFmtId="0" fontId="2" fillId="15" borderId="1" xfId="0" applyFont="1" applyFill="1" applyBorder="1" applyAlignment="1" applyProtection="1">
      <alignment horizontal="center" vertical="top" wrapText="1" shrinkToFit="1"/>
      <protection hidden="1"/>
    </xf>
    <xf numFmtId="0" fontId="2" fillId="4" borderId="1" xfId="0" applyFont="1" applyFill="1" applyBorder="1" applyAlignment="1" applyProtection="1">
      <alignment horizontal="center" vertical="top" wrapText="1" shrinkToFit="1"/>
      <protection hidden="1"/>
    </xf>
    <xf numFmtId="0" fontId="2" fillId="12" borderId="1" xfId="0" applyFont="1" applyFill="1" applyBorder="1" applyAlignment="1" applyProtection="1">
      <alignment horizontal="center" vertical="top" wrapText="1" shrinkToFit="1"/>
      <protection hidden="1"/>
    </xf>
    <xf numFmtId="0" fontId="8" fillId="14" borderId="1" xfId="0" applyFont="1" applyFill="1" applyBorder="1" applyAlignment="1">
      <alignment horizontal="center" vertical="center"/>
    </xf>
    <xf numFmtId="0" fontId="2" fillId="14" borderId="1" xfId="0" applyFont="1" applyFill="1" applyBorder="1" applyAlignment="1" applyProtection="1">
      <alignment horizontal="center" vertical="center"/>
      <protection hidden="1"/>
    </xf>
    <xf numFmtId="0" fontId="8" fillId="14" borderId="1" xfId="0" applyFont="1" applyFill="1" applyBorder="1" applyAlignment="1" applyProtection="1">
      <alignment horizontal="center" vertical="center"/>
      <protection locked="0"/>
    </xf>
    <xf numFmtId="0" fontId="2" fillId="14" borderId="1" xfId="0" applyFont="1" applyFill="1" applyBorder="1" applyAlignment="1" applyProtection="1">
      <alignment horizontal="center" vertical="center"/>
      <protection locked="0"/>
    </xf>
    <xf numFmtId="0" fontId="2" fillId="14" borderId="74" xfId="0" applyFont="1" applyFill="1" applyBorder="1" applyAlignment="1">
      <alignment horizontal="center" vertical="center"/>
    </xf>
    <xf numFmtId="0" fontId="2" fillId="14" borderId="7" xfId="0" applyFont="1" applyFill="1" applyBorder="1" applyAlignment="1">
      <alignment horizontal="center" vertical="center"/>
    </xf>
    <xf numFmtId="0" fontId="2" fillId="14" borderId="75" xfId="0" applyFont="1" applyFill="1" applyBorder="1" applyAlignment="1">
      <alignment horizontal="center" vertical="center"/>
    </xf>
    <xf numFmtId="0" fontId="8" fillId="14" borderId="72" xfId="0" applyNumberFormat="1" applyFont="1" applyFill="1" applyBorder="1" applyAlignment="1" applyProtection="1">
      <alignment horizontal="center" vertical="center"/>
    </xf>
    <xf numFmtId="0" fontId="8" fillId="14" borderId="73" xfId="0" applyNumberFormat="1" applyFont="1" applyFill="1" applyBorder="1" applyAlignment="1" applyProtection="1">
      <alignment horizontal="center" vertical="center"/>
    </xf>
    <xf numFmtId="0" fontId="32" fillId="19" borderId="1" xfId="0" applyFont="1" applyFill="1" applyBorder="1" applyAlignment="1" applyProtection="1">
      <alignment horizontal="center" vertical="center"/>
    </xf>
    <xf numFmtId="0" fontId="32" fillId="19" borderId="1" xfId="0" applyFont="1" applyFill="1" applyBorder="1" applyAlignment="1" applyProtection="1">
      <alignment horizontal="right" vertical="center"/>
    </xf>
    <xf numFmtId="57" fontId="32" fillId="19" borderId="1" xfId="0" applyNumberFormat="1" applyFont="1" applyFill="1" applyBorder="1" applyAlignment="1" applyProtection="1">
      <alignment vertical="center" shrinkToFit="1"/>
    </xf>
    <xf numFmtId="0" fontId="32" fillId="19" borderId="1" xfId="0" applyFont="1" applyFill="1" applyBorder="1" applyAlignment="1" applyProtection="1">
      <alignment horizontal="center" vertical="center" shrinkToFit="1"/>
      <protection locked="0"/>
    </xf>
    <xf numFmtId="0" fontId="32" fillId="19" borderId="1" xfId="0" applyFont="1" applyFill="1" applyBorder="1" applyAlignment="1" applyProtection="1">
      <alignment vertical="center" shrinkToFit="1"/>
      <protection locked="0"/>
    </xf>
    <xf numFmtId="187" fontId="2" fillId="0" borderId="84" xfId="0" applyNumberFormat="1" applyFont="1" applyBorder="1" applyAlignment="1" applyProtection="1">
      <alignment vertical="center"/>
      <protection locked="0"/>
    </xf>
    <xf numFmtId="188" fontId="2" fillId="4" borderId="4" xfId="0" applyNumberFormat="1" applyFont="1" applyFill="1" applyBorder="1" applyAlignment="1" applyProtection="1">
      <alignment vertical="center"/>
    </xf>
    <xf numFmtId="189" fontId="2" fillId="4" borderId="1" xfId="0" applyNumberFormat="1" applyFont="1" applyFill="1" applyBorder="1" applyAlignment="1" applyProtection="1">
      <alignment vertical="center"/>
    </xf>
    <xf numFmtId="0" fontId="0" fillId="0" borderId="0" xfId="0" applyBorder="1">
      <alignment vertical="center"/>
    </xf>
    <xf numFmtId="0" fontId="0" fillId="0" borderId="40" xfId="0" applyBorder="1">
      <alignment vertical="center"/>
    </xf>
    <xf numFmtId="0" fontId="2" fillId="0" borderId="13" xfId="0" applyFont="1" applyBorder="1" applyAlignment="1">
      <alignment vertical="center"/>
    </xf>
    <xf numFmtId="0" fontId="2" fillId="0" borderId="0" xfId="0" applyFont="1" applyBorder="1" applyAlignment="1">
      <alignment horizontal="right" vertical="center"/>
    </xf>
    <xf numFmtId="0" fontId="8" fillId="0" borderId="0" xfId="0" applyFont="1" applyBorder="1" applyAlignment="1">
      <alignment vertical="center"/>
    </xf>
    <xf numFmtId="0" fontId="2" fillId="0" borderId="0" xfId="0" applyFont="1" applyAlignment="1">
      <alignment horizontal="right" vertical="center"/>
    </xf>
    <xf numFmtId="0" fontId="2" fillId="0" borderId="0" xfId="0" quotePrefix="1" applyFont="1" applyAlignment="1">
      <alignment horizontal="right" vertical="center"/>
    </xf>
    <xf numFmtId="177" fontId="2" fillId="0" borderId="0" xfId="0" applyNumberFormat="1" applyFont="1" applyAlignment="1">
      <alignment horizontal="left" vertical="center"/>
    </xf>
    <xf numFmtId="194" fontId="2" fillId="0" borderId="0" xfId="0" applyNumberFormat="1" applyFont="1" applyAlignment="1">
      <alignment horizontal="left" vertical="center"/>
    </xf>
    <xf numFmtId="0" fontId="2" fillId="15" borderId="27" xfId="0" applyFont="1" applyFill="1" applyBorder="1" applyAlignment="1" applyProtection="1">
      <alignment vertical="center"/>
    </xf>
    <xf numFmtId="0" fontId="2" fillId="20" borderId="1" xfId="0" applyNumberFormat="1" applyFont="1" applyFill="1" applyBorder="1" applyAlignment="1" applyProtection="1">
      <alignment vertical="center"/>
    </xf>
    <xf numFmtId="0" fontId="2" fillId="20" borderId="4" xfId="0" applyNumberFormat="1" applyFont="1" applyFill="1" applyBorder="1" applyAlignment="1" applyProtection="1">
      <alignment vertical="center"/>
    </xf>
    <xf numFmtId="0" fontId="2" fillId="0" borderId="82" xfId="0" applyNumberFormat="1" applyFont="1" applyBorder="1" applyAlignment="1" applyProtection="1">
      <alignment vertical="center"/>
      <protection locked="0"/>
    </xf>
    <xf numFmtId="0" fontId="2" fillId="0" borderId="5" xfId="0" applyFont="1" applyBorder="1" applyAlignment="1">
      <alignment vertical="center"/>
    </xf>
    <xf numFmtId="0" fontId="8" fillId="0" borderId="13" xfId="0" applyFont="1" applyBorder="1" applyAlignment="1" applyProtection="1">
      <alignment vertical="center" shrinkToFit="1"/>
    </xf>
    <xf numFmtId="0" fontId="39" fillId="0" borderId="0" xfId="0" applyFont="1">
      <alignment vertical="center"/>
    </xf>
    <xf numFmtId="183" fontId="2" fillId="0" borderId="0" xfId="0" applyNumberFormat="1" applyFont="1" applyAlignment="1">
      <alignment vertical="center"/>
    </xf>
    <xf numFmtId="183" fontId="2" fillId="0" borderId="0" xfId="0" applyNumberFormat="1" applyFont="1">
      <alignment vertical="center"/>
    </xf>
    <xf numFmtId="0" fontId="7" fillId="0" borderId="0" xfId="0" applyFont="1" applyFill="1" applyAlignment="1">
      <alignment vertical="center"/>
    </xf>
    <xf numFmtId="0" fontId="28" fillId="0" borderId="0" xfId="0" applyFont="1">
      <alignment vertical="center"/>
    </xf>
    <xf numFmtId="0" fontId="40" fillId="0" borderId="0" xfId="0" applyFont="1">
      <alignment vertical="center"/>
    </xf>
    <xf numFmtId="0" fontId="8" fillId="0" borderId="0" xfId="0" applyFont="1">
      <alignment vertical="center"/>
    </xf>
    <xf numFmtId="0" fontId="28" fillId="0" borderId="0" xfId="0" applyFont="1" applyAlignment="1">
      <alignment vertical="center"/>
    </xf>
    <xf numFmtId="0" fontId="42" fillId="0" borderId="0" xfId="0" applyFont="1" applyAlignment="1">
      <alignment vertical="center"/>
    </xf>
    <xf numFmtId="0" fontId="41" fillId="0" borderId="0" xfId="0" applyFont="1" applyAlignment="1">
      <alignment horizontal="left" vertical="center"/>
    </xf>
    <xf numFmtId="0" fontId="44" fillId="0" borderId="98" xfId="0" applyFont="1" applyBorder="1" applyAlignment="1">
      <alignment horizontal="left" vertical="top"/>
    </xf>
    <xf numFmtId="0" fontId="45" fillId="0" borderId="0" xfId="0" applyFont="1" applyAlignment="1">
      <alignment horizontal="left" vertical="center" wrapText="1" indent="3"/>
    </xf>
    <xf numFmtId="0" fontId="46" fillId="0" borderId="0" xfId="0" applyFont="1" applyAlignment="1">
      <alignment horizontal="left" vertical="center"/>
    </xf>
    <xf numFmtId="0" fontId="42" fillId="0" borderId="0" xfId="0" applyFont="1" applyAlignment="1">
      <alignment horizontal="left" vertical="center"/>
    </xf>
    <xf numFmtId="0" fontId="41" fillId="0" borderId="0" xfId="0" applyFont="1">
      <alignment vertical="center"/>
    </xf>
    <xf numFmtId="0" fontId="44" fillId="0" borderId="98" xfId="0" applyFont="1" applyBorder="1" applyAlignment="1">
      <alignment vertical="top"/>
    </xf>
    <xf numFmtId="0" fontId="41" fillId="0" borderId="0" xfId="0" applyFont="1" applyAlignment="1">
      <alignment vertical="center" wrapText="1"/>
    </xf>
    <xf numFmtId="0" fontId="45" fillId="0" borderId="0" xfId="0" applyFont="1" applyAlignment="1">
      <alignment vertical="center" wrapText="1"/>
    </xf>
    <xf numFmtId="0" fontId="46" fillId="0" borderId="0" xfId="0" applyFont="1" applyAlignment="1">
      <alignment vertical="center"/>
    </xf>
    <xf numFmtId="0" fontId="46" fillId="0" borderId="35" xfId="0" applyFont="1" applyBorder="1" applyAlignment="1">
      <alignment vertical="center"/>
    </xf>
    <xf numFmtId="0" fontId="46" fillId="0" borderId="40" xfId="0" applyFont="1" applyBorder="1" applyAlignment="1">
      <alignment vertical="center"/>
    </xf>
    <xf numFmtId="0" fontId="46" fillId="0" borderId="9" xfId="0" applyFont="1" applyBorder="1" applyAlignment="1">
      <alignment vertical="center"/>
    </xf>
    <xf numFmtId="0" fontId="43" fillId="4" borderId="35" xfId="0" applyFont="1" applyFill="1" applyBorder="1" applyAlignment="1">
      <alignment vertical="center"/>
    </xf>
    <xf numFmtId="0" fontId="47" fillId="4" borderId="40" xfId="0" applyFont="1" applyFill="1" applyBorder="1" applyAlignment="1">
      <alignment vertical="center"/>
    </xf>
    <xf numFmtId="0" fontId="46" fillId="4" borderId="40" xfId="0" applyFont="1" applyFill="1" applyBorder="1" applyAlignment="1">
      <alignment vertical="center"/>
    </xf>
    <xf numFmtId="0" fontId="46" fillId="4" borderId="9" xfId="0" applyFont="1" applyFill="1" applyBorder="1" applyAlignment="1">
      <alignment vertical="center"/>
    </xf>
    <xf numFmtId="0" fontId="46" fillId="4" borderId="35" xfId="0" applyFont="1" applyFill="1" applyBorder="1" applyAlignment="1">
      <alignment horizontal="left" vertical="center"/>
    </xf>
    <xf numFmtId="0" fontId="46" fillId="4" borderId="40" xfId="0" applyFont="1" applyFill="1" applyBorder="1" applyAlignment="1">
      <alignment horizontal="left" vertical="center"/>
    </xf>
    <xf numFmtId="0" fontId="47" fillId="4" borderId="40" xfId="0" applyFont="1" applyFill="1" applyBorder="1" applyAlignment="1">
      <alignment horizontal="left" vertical="center"/>
    </xf>
    <xf numFmtId="0" fontId="46" fillId="4" borderId="35" xfId="0" applyFont="1" applyFill="1" applyBorder="1" applyAlignment="1">
      <alignment vertical="center"/>
    </xf>
    <xf numFmtId="0" fontId="48" fillId="4" borderId="40" xfId="0" applyFont="1" applyFill="1" applyBorder="1" applyAlignment="1">
      <alignment vertical="center"/>
    </xf>
    <xf numFmtId="195" fontId="2" fillId="0" borderId="0" xfId="0" applyNumberFormat="1" applyFont="1" applyProtection="1">
      <alignment vertical="center"/>
      <protection locked="0"/>
    </xf>
    <xf numFmtId="184" fontId="2" fillId="7" borderId="15" xfId="0" applyNumberFormat="1" applyFont="1" applyFill="1" applyBorder="1" applyAlignment="1" applyProtection="1">
      <alignment vertical="center" shrinkToFit="1"/>
    </xf>
    <xf numFmtId="0" fontId="8" fillId="6" borderId="30" xfId="0" applyFont="1" applyFill="1" applyBorder="1" applyProtection="1">
      <alignment vertical="center"/>
      <protection locked="0"/>
    </xf>
    <xf numFmtId="0" fontId="8" fillId="0" borderId="30" xfId="0" applyFont="1" applyBorder="1" applyProtection="1">
      <alignment vertical="center"/>
      <protection locked="0"/>
    </xf>
    <xf numFmtId="186" fontId="28" fillId="0" borderId="0" xfId="0" applyNumberFormat="1" applyFont="1" applyAlignment="1">
      <alignment vertical="center" shrinkToFit="1"/>
    </xf>
    <xf numFmtId="0" fontId="2" fillId="0" borderId="0" xfId="0" quotePrefix="1" applyFont="1" applyAlignment="1" applyProtection="1">
      <alignment horizontal="right" vertical="center"/>
      <protection locked="0"/>
    </xf>
    <xf numFmtId="177" fontId="2" fillId="0" borderId="0" xfId="0" applyNumberFormat="1" applyFont="1" applyAlignment="1" applyProtection="1">
      <alignment horizontal="left" vertical="center"/>
      <protection locked="0"/>
    </xf>
    <xf numFmtId="194" fontId="2" fillId="0" borderId="0" xfId="0" applyNumberFormat="1" applyFont="1" applyAlignment="1" applyProtection="1">
      <alignment horizontal="left" vertical="center"/>
      <protection locked="0"/>
    </xf>
    <xf numFmtId="0" fontId="28" fillId="5" borderId="40" xfId="0" applyFont="1" applyFill="1" applyBorder="1" applyAlignment="1">
      <alignment horizontal="left" vertical="center"/>
    </xf>
    <xf numFmtId="0" fontId="28" fillId="5" borderId="40" xfId="0" applyFont="1" applyFill="1" applyBorder="1" applyAlignment="1">
      <alignment vertical="center"/>
    </xf>
    <xf numFmtId="178" fontId="49" fillId="0" borderId="0" xfId="0" applyNumberFormat="1" applyFont="1" applyBorder="1">
      <alignment vertical="center"/>
    </xf>
    <xf numFmtId="178" fontId="49" fillId="0" borderId="0" xfId="0" applyNumberFormat="1" applyFont="1">
      <alignment vertical="center"/>
    </xf>
    <xf numFmtId="178" fontId="8" fillId="0" borderId="0" xfId="0" applyNumberFormat="1" applyFont="1" applyProtection="1">
      <alignment vertical="center"/>
      <protection locked="0"/>
    </xf>
    <xf numFmtId="195" fontId="2" fillId="0" borderId="23" xfId="0" applyNumberFormat="1" applyFont="1" applyBorder="1" applyAlignment="1" applyProtection="1">
      <alignment vertical="center" shrinkToFit="1"/>
      <protection locked="0"/>
    </xf>
    <xf numFmtId="0" fontId="40" fillId="5" borderId="9" xfId="0" applyFont="1" applyFill="1" applyBorder="1" applyAlignment="1">
      <alignment horizontal="left" vertical="center"/>
    </xf>
    <xf numFmtId="176" fontId="8" fillId="0" borderId="1" xfId="0" applyNumberFormat="1"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2" fillId="12" borderId="1" xfId="0" applyFont="1" applyFill="1" applyBorder="1" applyAlignment="1" applyProtection="1">
      <alignment horizontal="center" vertical="center" shrinkToFit="1"/>
      <protection locked="0"/>
    </xf>
    <xf numFmtId="0" fontId="2" fillId="0" borderId="8" xfId="0" applyFont="1" applyBorder="1" applyAlignment="1" applyProtection="1">
      <alignment horizontal="center" vertical="center"/>
      <protection locked="0"/>
    </xf>
    <xf numFmtId="0" fontId="2" fillId="4" borderId="7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14" borderId="1" xfId="0" applyFont="1" applyFill="1" applyBorder="1" applyAlignment="1">
      <alignment horizontal="center" vertical="center"/>
    </xf>
    <xf numFmtId="0" fontId="0" fillId="0" borderId="1" xfId="0" applyBorder="1" applyAlignment="1" applyProtection="1">
      <alignment horizontal="right" vertical="center"/>
      <protection locked="0"/>
    </xf>
    <xf numFmtId="0" fontId="2" fillId="14" borderId="1" xfId="0" applyFont="1" applyFill="1" applyBorder="1" applyAlignment="1" applyProtection="1">
      <alignment horizontal="right" vertical="center"/>
      <protection hidden="1"/>
    </xf>
    <xf numFmtId="0" fontId="2" fillId="14" borderId="1" xfId="0" applyFont="1" applyFill="1" applyBorder="1" applyAlignment="1" applyProtection="1">
      <alignment horizontal="right" vertical="center"/>
      <protection locked="0"/>
    </xf>
    <xf numFmtId="0" fontId="2" fillId="0" borderId="1" xfId="0" applyFont="1" applyBorder="1" applyAlignment="1" applyProtection="1">
      <alignment horizontal="center" vertical="center" shrinkToFit="1"/>
      <protection locked="0"/>
    </xf>
    <xf numFmtId="0" fontId="8" fillId="1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176" fontId="2" fillId="0" borderId="1" xfId="0" applyNumberFormat="1" applyFont="1" applyBorder="1">
      <alignment vertical="center"/>
    </xf>
    <xf numFmtId="0" fontId="8" fillId="0" borderId="1" xfId="0" applyNumberFormat="1" applyFont="1" applyBorder="1" applyAlignment="1">
      <alignment horizontal="center" vertical="center"/>
    </xf>
    <xf numFmtId="0" fontId="0" fillId="0" borderId="1" xfId="0" applyBorder="1" applyProtection="1">
      <alignment vertical="center"/>
      <protection locked="0"/>
    </xf>
    <xf numFmtId="0" fontId="2" fillId="0" borderId="1" xfId="0" applyNumberFormat="1" applyFont="1" applyFill="1" applyBorder="1" applyAlignment="1" applyProtection="1">
      <alignment horizontal="right" vertical="center"/>
      <protection locked="0"/>
    </xf>
    <xf numFmtId="0" fontId="2" fillId="0" borderId="0" xfId="0" applyFont="1" applyAlignment="1" applyProtection="1">
      <alignment horizontal="center" vertical="center" shrinkToFit="1"/>
      <protection locked="0"/>
    </xf>
    <xf numFmtId="190" fontId="2" fillId="0" borderId="0" xfId="0" applyNumberFormat="1" applyFont="1" applyAlignment="1">
      <alignment horizontal="center" vertical="center" shrinkToFit="1"/>
    </xf>
    <xf numFmtId="0" fontId="8" fillId="5" borderId="1" xfId="0" applyFont="1" applyFill="1" applyBorder="1" applyAlignment="1">
      <alignment horizontal="center" vertical="center"/>
    </xf>
    <xf numFmtId="0" fontId="2" fillId="0" borderId="3" xfId="0" applyFont="1" applyBorder="1" applyAlignment="1">
      <alignment horizontal="center" vertical="center" wrapText="1"/>
    </xf>
    <xf numFmtId="0" fontId="8" fillId="14" borderId="4" xfId="0" applyFont="1" applyFill="1" applyBorder="1" applyAlignment="1">
      <alignment horizontal="center" vertical="center" wrapText="1"/>
    </xf>
    <xf numFmtId="0" fontId="2" fillId="5" borderId="100" xfId="0" applyFont="1" applyFill="1" applyBorder="1" applyAlignment="1">
      <alignment horizontal="center" vertical="center" wrapText="1"/>
    </xf>
    <xf numFmtId="0" fontId="8" fillId="5" borderId="101" xfId="0" applyFont="1" applyFill="1" applyBorder="1" applyAlignment="1">
      <alignment horizontal="center" vertical="center" wrapText="1"/>
    </xf>
    <xf numFmtId="196" fontId="2" fillId="9" borderId="0" xfId="0" applyNumberFormat="1" applyFont="1" applyFill="1" applyBorder="1" applyAlignment="1" applyProtection="1">
      <alignment horizontal="center" vertical="center" shrinkToFit="1"/>
    </xf>
    <xf numFmtId="197" fontId="2" fillId="9" borderId="0" xfId="0" applyNumberFormat="1" applyFont="1" applyFill="1" applyBorder="1" applyAlignment="1" applyProtection="1">
      <alignment horizontal="left" vertical="center" shrinkToFit="1"/>
    </xf>
    <xf numFmtId="184" fontId="2" fillId="9" borderId="19" xfId="0" applyNumberFormat="1" applyFont="1" applyFill="1" applyBorder="1" applyAlignment="1" applyProtection="1">
      <alignment horizontal="left" vertical="center" shrinkToFit="1"/>
    </xf>
    <xf numFmtId="176" fontId="8" fillId="0" borderId="1" xfId="0" applyNumberFormat="1" applyFont="1" applyBorder="1" applyAlignment="1" applyProtection="1">
      <alignment horizontal="center" vertical="center"/>
      <protection locked="0"/>
    </xf>
    <xf numFmtId="176" fontId="2" fillId="0" borderId="1" xfId="0" applyNumberFormat="1" applyFont="1" applyBorder="1" applyProtection="1">
      <alignment vertical="center"/>
      <protection locked="0"/>
    </xf>
    <xf numFmtId="0" fontId="8" fillId="0" borderId="1"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102" xfId="0" applyNumberFormat="1" applyFont="1" applyBorder="1" applyAlignment="1" applyProtection="1">
      <alignment horizontal="center" vertical="center"/>
    </xf>
    <xf numFmtId="0" fontId="3" fillId="0" borderId="103" xfId="0" applyNumberFormat="1" applyFont="1" applyFill="1" applyBorder="1" applyAlignment="1" applyProtection="1">
      <alignment horizontal="right" vertical="center"/>
    </xf>
    <xf numFmtId="0" fontId="3" fillId="0" borderId="4" xfId="0" applyFont="1" applyBorder="1" applyProtection="1">
      <alignment vertical="center"/>
    </xf>
    <xf numFmtId="183" fontId="2" fillId="9" borderId="19" xfId="0" applyNumberFormat="1" applyFont="1" applyFill="1" applyBorder="1" applyAlignment="1" applyProtection="1">
      <alignment horizontal="left" vertical="center" shrinkToFit="1"/>
    </xf>
    <xf numFmtId="0" fontId="2" fillId="13" borderId="0" xfId="0" applyFont="1" applyFill="1" applyAlignment="1" applyProtection="1">
      <alignment horizontal="center" vertical="center" shrinkToFit="1"/>
    </xf>
    <xf numFmtId="0" fontId="2" fillId="12" borderId="1" xfId="0" applyFont="1" applyFill="1" applyBorder="1" applyAlignment="1" applyProtection="1">
      <alignment horizontal="center" vertical="top" shrinkToFit="1"/>
      <protection locked="0"/>
    </xf>
    <xf numFmtId="0" fontId="0" fillId="0" borderId="0" xfId="0" applyAlignment="1" applyProtection="1">
      <alignment vertical="center" shrinkToFit="1"/>
      <protection locked="0"/>
    </xf>
    <xf numFmtId="177" fontId="3" fillId="0" borderId="102" xfId="0" applyNumberFormat="1" applyFont="1" applyBorder="1" applyAlignment="1" applyProtection="1">
      <alignment horizontal="center" vertical="center"/>
    </xf>
    <xf numFmtId="177" fontId="3" fillId="0" borderId="103" xfId="0" applyNumberFormat="1" applyFont="1" applyFill="1" applyBorder="1" applyAlignment="1" applyProtection="1">
      <alignment horizontal="right" vertical="center"/>
    </xf>
    <xf numFmtId="177" fontId="3" fillId="0" borderId="4" xfId="0" applyNumberFormat="1" applyFont="1" applyBorder="1" applyProtection="1">
      <alignment vertical="center"/>
    </xf>
    <xf numFmtId="0" fontId="24" fillId="0" borderId="0" xfId="1" applyFont="1" applyAlignment="1" applyProtection="1">
      <alignment horizontal="left" vertical="center"/>
    </xf>
    <xf numFmtId="0" fontId="38" fillId="21" borderId="0" xfId="0" applyFont="1" applyFill="1" applyAlignment="1">
      <alignment horizontal="center" vertical="center"/>
    </xf>
    <xf numFmtId="0" fontId="37" fillId="21" borderId="0" xfId="0" applyFont="1" applyFill="1" applyAlignment="1">
      <alignment horizontal="center" vertical="center"/>
    </xf>
    <xf numFmtId="0" fontId="4" fillId="0" borderId="0" xfId="0" applyFont="1" applyFill="1" applyAlignment="1">
      <alignment horizontal="center" vertical="center"/>
    </xf>
    <xf numFmtId="0" fontId="41" fillId="4" borderId="34" xfId="0" applyFont="1" applyFill="1" applyBorder="1" applyAlignment="1">
      <alignment horizontal="center" vertical="center"/>
    </xf>
    <xf numFmtId="0" fontId="41" fillId="4" borderId="70" xfId="0" applyFont="1" applyFill="1" applyBorder="1" applyAlignment="1">
      <alignment horizontal="center" vertical="center"/>
    </xf>
    <xf numFmtId="0" fontId="41" fillId="0" borderId="0" xfId="0" applyFont="1" applyAlignment="1">
      <alignment horizontal="center" vertical="center"/>
    </xf>
    <xf numFmtId="0" fontId="41" fillId="0" borderId="34" xfId="0" applyFont="1" applyBorder="1" applyAlignment="1">
      <alignment horizontal="center" vertical="center"/>
    </xf>
    <xf numFmtId="0" fontId="41" fillId="0" borderId="70" xfId="0" applyFont="1" applyBorder="1" applyAlignment="1">
      <alignment horizontal="center" vertical="center"/>
    </xf>
    <xf numFmtId="0" fontId="41" fillId="0" borderId="8" xfId="0" applyFont="1" applyBorder="1" applyAlignment="1">
      <alignment horizontal="center" vertical="center"/>
    </xf>
    <xf numFmtId="0" fontId="41" fillId="4" borderId="8" xfId="0" applyFont="1" applyFill="1" applyBorder="1" applyAlignment="1">
      <alignment horizontal="center" vertical="center"/>
    </xf>
    <xf numFmtId="0" fontId="2" fillId="5" borderId="47" xfId="0" applyFont="1" applyFill="1" applyBorder="1" applyAlignment="1">
      <alignment horizontal="center" vertical="center" shrinkToFit="1"/>
    </xf>
    <xf numFmtId="0" fontId="2" fillId="5" borderId="59" xfId="0" applyFont="1" applyFill="1" applyBorder="1" applyAlignment="1">
      <alignment horizontal="center" vertical="center" shrinkToFit="1"/>
    </xf>
    <xf numFmtId="0" fontId="2" fillId="5" borderId="43" xfId="0" applyFont="1" applyFill="1" applyBorder="1" applyAlignment="1">
      <alignment horizontal="center" vertical="center" shrinkToFit="1"/>
    </xf>
    <xf numFmtId="0" fontId="2" fillId="5" borderId="44" xfId="0" applyFont="1" applyFill="1" applyBorder="1" applyAlignment="1">
      <alignment horizontal="center" vertical="center" shrinkToFit="1"/>
    </xf>
    <xf numFmtId="0" fontId="2" fillId="17" borderId="3" xfId="0" applyFont="1" applyFill="1" applyBorder="1" applyAlignment="1">
      <alignment horizontal="center" vertical="center" shrinkToFit="1"/>
    </xf>
    <xf numFmtId="0" fontId="2" fillId="17" borderId="61" xfId="0" applyFont="1" applyFill="1" applyBorder="1" applyAlignment="1">
      <alignment horizontal="center" vertical="center" shrinkToFit="1"/>
    </xf>
    <xf numFmtId="0" fontId="8" fillId="17" borderId="49" xfId="0" applyFont="1" applyFill="1" applyBorder="1" applyAlignment="1">
      <alignment horizontal="center" vertical="center" shrinkToFit="1"/>
    </xf>
    <xf numFmtId="0" fontId="8" fillId="17" borderId="4"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61" xfId="0" applyFont="1" applyFill="1" applyBorder="1" applyAlignment="1">
      <alignment horizontal="center" vertical="center" shrinkToFit="1"/>
    </xf>
    <xf numFmtId="0" fontId="2" fillId="5" borderId="49" xfId="0" applyFont="1" applyFill="1" applyBorder="1" applyAlignment="1">
      <alignment horizontal="center" vertical="center" shrinkToFit="1"/>
    </xf>
    <xf numFmtId="0" fontId="2" fillId="5" borderId="4" xfId="0" applyFont="1" applyFill="1" applyBorder="1" applyAlignment="1">
      <alignment horizontal="center" vertical="center" shrinkToFit="1"/>
    </xf>
    <xf numFmtId="0" fontId="2" fillId="17" borderId="49" xfId="0" applyFont="1" applyFill="1" applyBorder="1" applyAlignment="1">
      <alignment horizontal="center" vertical="center" shrinkToFit="1"/>
    </xf>
    <xf numFmtId="0" fontId="2" fillId="17" borderId="4" xfId="0" applyFont="1" applyFill="1" applyBorder="1" applyAlignment="1">
      <alignment horizontal="center" vertical="center" shrinkToFit="1"/>
    </xf>
    <xf numFmtId="0" fontId="2" fillId="16" borderId="44" xfId="0" applyFont="1" applyFill="1" applyBorder="1" applyAlignment="1">
      <alignment horizontal="center" vertical="center" shrinkToFit="1"/>
    </xf>
    <xf numFmtId="0" fontId="2" fillId="16" borderId="7" xfId="0" applyFont="1" applyFill="1" applyBorder="1" applyAlignment="1">
      <alignment horizontal="center" vertical="center" shrinkToFit="1"/>
    </xf>
    <xf numFmtId="0" fontId="2" fillId="16" borderId="42" xfId="0" applyFont="1" applyFill="1" applyBorder="1" applyAlignment="1">
      <alignment horizontal="center" vertical="center" shrinkToFit="1"/>
    </xf>
    <xf numFmtId="186" fontId="2" fillId="5" borderId="49" xfId="0" applyNumberFormat="1" applyFont="1" applyFill="1" applyBorder="1" applyAlignment="1">
      <alignment horizontal="center" vertical="center" shrinkToFit="1"/>
    </xf>
    <xf numFmtId="186" fontId="2" fillId="5" borderId="4" xfId="0" applyNumberFormat="1" applyFont="1" applyFill="1" applyBorder="1" applyAlignment="1">
      <alignment horizontal="center" vertical="center" shrinkToFit="1"/>
    </xf>
    <xf numFmtId="186" fontId="2" fillId="17" borderId="3" xfId="0" applyNumberFormat="1" applyFont="1" applyFill="1" applyBorder="1" applyAlignment="1">
      <alignment horizontal="center" vertical="center" shrinkToFit="1"/>
    </xf>
    <xf numFmtId="186" fontId="2" fillId="17" borderId="61" xfId="0" applyNumberFormat="1" applyFont="1" applyFill="1" applyBorder="1" applyAlignment="1">
      <alignment horizontal="center" vertical="center" shrinkToFit="1"/>
    </xf>
    <xf numFmtId="186" fontId="8" fillId="17" borderId="43" xfId="0" applyNumberFormat="1" applyFont="1" applyFill="1" applyBorder="1" applyAlignment="1">
      <alignment horizontal="center" vertical="center" shrinkToFit="1"/>
    </xf>
    <xf numFmtId="186" fontId="8" fillId="17" borderId="44" xfId="0" applyNumberFormat="1" applyFont="1" applyFill="1" applyBorder="1" applyAlignment="1">
      <alignment horizontal="center" vertical="center" shrinkToFit="1"/>
    </xf>
    <xf numFmtId="186" fontId="8" fillId="5" borderId="42" xfId="0" applyNumberFormat="1" applyFont="1" applyFill="1" applyBorder="1" applyAlignment="1">
      <alignment horizontal="center" vertical="center" shrinkToFit="1"/>
    </xf>
    <xf numFmtId="186" fontId="8" fillId="5" borderId="43" xfId="0" applyNumberFormat="1" applyFont="1" applyFill="1" applyBorder="1" applyAlignment="1">
      <alignment horizontal="center" vertical="center" shrinkToFit="1"/>
    </xf>
    <xf numFmtId="186" fontId="2" fillId="5" borderId="45" xfId="0" applyNumberFormat="1" applyFont="1" applyFill="1" applyBorder="1" applyAlignment="1">
      <alignment horizontal="center" vertical="center" shrinkToFit="1"/>
    </xf>
    <xf numFmtId="186" fontId="2" fillId="5" borderId="44" xfId="0" applyNumberFormat="1" applyFont="1" applyFill="1" applyBorder="1" applyAlignment="1">
      <alignment horizontal="center" vertical="center" shrinkToFit="1"/>
    </xf>
    <xf numFmtId="186" fontId="2" fillId="17" borderId="42" xfId="0" applyNumberFormat="1" applyFont="1" applyFill="1" applyBorder="1" applyAlignment="1">
      <alignment horizontal="center" vertical="center" shrinkToFit="1"/>
    </xf>
    <xf numFmtId="186" fontId="2" fillId="17" borderId="58" xfId="0" applyNumberFormat="1" applyFont="1" applyFill="1" applyBorder="1" applyAlignment="1">
      <alignment horizontal="center" vertical="center" shrinkToFit="1"/>
    </xf>
    <xf numFmtId="186" fontId="2" fillId="17" borderId="43" xfId="0" applyNumberFormat="1" applyFont="1" applyFill="1" applyBorder="1" applyAlignment="1">
      <alignment horizontal="center" vertical="center" shrinkToFit="1"/>
    </xf>
    <xf numFmtId="186" fontId="2" fillId="17" borderId="44" xfId="0" applyNumberFormat="1" applyFont="1" applyFill="1" applyBorder="1" applyAlignment="1">
      <alignment horizontal="center" vertical="center" shrinkToFit="1"/>
    </xf>
    <xf numFmtId="186" fontId="2" fillId="5" borderId="42" xfId="0" applyNumberFormat="1" applyFont="1" applyFill="1" applyBorder="1" applyAlignment="1">
      <alignment horizontal="center" vertical="center" shrinkToFit="1"/>
    </xf>
    <xf numFmtId="186" fontId="2" fillId="5" borderId="43" xfId="0" applyNumberFormat="1" applyFont="1" applyFill="1" applyBorder="1" applyAlignment="1">
      <alignment horizontal="center" vertical="center" shrinkToFit="1"/>
    </xf>
    <xf numFmtId="0" fontId="2" fillId="0" borderId="0" xfId="0" applyFont="1" applyAlignment="1" applyProtection="1">
      <alignment horizontal="right" vertical="center" shrinkToFit="1"/>
      <protection locked="0"/>
    </xf>
    <xf numFmtId="0" fontId="2" fillId="17" borderId="43" xfId="0" applyFont="1" applyFill="1" applyBorder="1" applyAlignment="1">
      <alignment horizontal="center" vertical="center" shrinkToFit="1"/>
    </xf>
    <xf numFmtId="0" fontId="2" fillId="17" borderId="44" xfId="0" applyFont="1" applyFill="1" applyBorder="1" applyAlignment="1">
      <alignment horizontal="center" vertical="center" shrinkToFit="1"/>
    </xf>
    <xf numFmtId="185" fontId="2" fillId="0" borderId="5" xfId="0" applyNumberFormat="1"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185" fontId="2" fillId="5" borderId="1" xfId="0" applyNumberFormat="1" applyFont="1" applyFill="1" applyBorder="1" applyAlignment="1" applyProtection="1">
      <alignment horizontal="center" vertical="center" shrinkToFit="1"/>
      <protection locked="0"/>
    </xf>
    <xf numFmtId="185" fontId="2" fillId="17" borderId="1" xfId="0" applyNumberFormat="1" applyFont="1" applyFill="1" applyBorder="1" applyAlignment="1" applyProtection="1">
      <alignment horizontal="center" vertical="center" shrinkToFit="1"/>
      <protection locked="0"/>
    </xf>
    <xf numFmtId="185" fontId="2" fillId="0" borderId="8" xfId="0" applyNumberFormat="1"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right" vertical="center" shrinkToFit="1"/>
      <protection locked="0"/>
    </xf>
    <xf numFmtId="0" fontId="2" fillId="0" borderId="34"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5" borderId="41" xfId="0" applyFont="1" applyFill="1" applyBorder="1" applyAlignment="1" applyProtection="1">
      <alignment horizontal="center" vertical="center" shrinkToFit="1"/>
      <protection locked="0"/>
    </xf>
    <xf numFmtId="0" fontId="2" fillId="17" borderId="41" xfId="0" applyFont="1" applyFill="1" applyBorder="1" applyAlignment="1" applyProtection="1">
      <alignment horizontal="center" vertical="center" shrinkToFit="1"/>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0" xfId="0" applyFont="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5" borderId="3" xfId="0" applyFont="1" applyFill="1" applyBorder="1" applyAlignment="1">
      <alignment horizontal="center" vertical="center" shrinkToFit="1"/>
    </xf>
    <xf numFmtId="0" fontId="2" fillId="5" borderId="61" xfId="0" applyFont="1" applyFill="1" applyBorder="1" applyAlignment="1">
      <alignment horizontal="center" vertical="center" shrinkToFit="1"/>
    </xf>
    <xf numFmtId="0" fontId="2" fillId="17" borderId="42" xfId="0" applyFont="1" applyFill="1" applyBorder="1" applyAlignment="1">
      <alignment horizontal="center" vertical="center" shrinkToFit="1"/>
    </xf>
    <xf numFmtId="0" fontId="4" fillId="4" borderId="1" xfId="0" applyFont="1" applyFill="1" applyBorder="1" applyAlignment="1" applyProtection="1">
      <alignment horizontal="center" vertical="center"/>
      <protection locked="0"/>
    </xf>
    <xf numFmtId="176" fontId="2" fillId="0" borderId="3" xfId="0" applyNumberFormat="1"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191" fontId="2" fillId="0" borderId="81" xfId="0" applyNumberFormat="1" applyFont="1" applyBorder="1" applyAlignment="1" applyProtection="1">
      <alignment horizontal="center" vertical="center"/>
      <protection locked="0"/>
    </xf>
    <xf numFmtId="191" fontId="2" fillId="0" borderId="82" xfId="0" applyNumberFormat="1" applyFont="1" applyBorder="1" applyAlignment="1" applyProtection="1">
      <alignment horizontal="center" vertical="center"/>
      <protection locked="0"/>
    </xf>
    <xf numFmtId="0" fontId="2" fillId="4" borderId="85"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7" xfId="0" applyFont="1" applyFill="1" applyBorder="1" applyAlignment="1" applyProtection="1">
      <alignment horizontal="center" vertical="center"/>
      <protection hidden="1"/>
    </xf>
    <xf numFmtId="0" fontId="8" fillId="15" borderId="48" xfId="0" applyFont="1" applyFill="1" applyBorder="1" applyAlignment="1" applyProtection="1">
      <alignment horizontal="center" vertical="center" shrinkToFit="1"/>
      <protection locked="0"/>
    </xf>
    <xf numFmtId="0" fontId="8" fillId="15" borderId="1" xfId="0" applyFont="1" applyFill="1" applyBorder="1" applyAlignment="1" applyProtection="1">
      <alignment horizontal="center" vertical="center" shrinkToFit="1"/>
      <protection locked="0"/>
    </xf>
    <xf numFmtId="0" fontId="8" fillId="15" borderId="7" xfId="0" applyFont="1" applyFill="1" applyBorder="1" applyAlignment="1" applyProtection="1">
      <alignment horizontal="center" vertical="center" shrinkToFit="1"/>
      <protection locked="0"/>
    </xf>
    <xf numFmtId="0" fontId="8" fillId="15" borderId="42" xfId="0" applyFont="1" applyFill="1" applyBorder="1" applyAlignment="1" applyProtection="1">
      <alignment horizontal="center" vertical="center" shrinkToFit="1"/>
      <protection locked="0"/>
    </xf>
    <xf numFmtId="176" fontId="2" fillId="8" borderId="0" xfId="0" applyNumberFormat="1" applyFont="1" applyFill="1" applyBorder="1" applyAlignment="1" applyProtection="1">
      <alignment horizontal="right" vertical="center"/>
    </xf>
    <xf numFmtId="176" fontId="2" fillId="8" borderId="15" xfId="0" applyNumberFormat="1" applyFont="1" applyFill="1" applyBorder="1" applyAlignment="1" applyProtection="1">
      <alignment horizontal="right" vertical="center"/>
    </xf>
    <xf numFmtId="184" fontId="2" fillId="9" borderId="0" xfId="0" applyNumberFormat="1" applyFont="1" applyFill="1" applyBorder="1" applyAlignment="1" applyProtection="1">
      <alignment horizontal="center" vertical="center"/>
    </xf>
    <xf numFmtId="176" fontId="2" fillId="0" borderId="0" xfId="0" applyNumberFormat="1" applyFont="1" applyBorder="1" applyAlignment="1">
      <alignment horizontal="left" vertical="center"/>
    </xf>
    <xf numFmtId="184" fontId="2" fillId="3" borderId="13"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protection hidden="1"/>
    </xf>
    <xf numFmtId="0" fontId="2" fillId="15" borderId="1" xfId="0" applyFont="1" applyFill="1" applyBorder="1" applyAlignment="1">
      <alignment horizontal="center" vertical="center"/>
    </xf>
    <xf numFmtId="0" fontId="2" fillId="15" borderId="3" xfId="0" applyFont="1" applyFill="1" applyBorder="1" applyAlignment="1">
      <alignment horizontal="center" vertical="center"/>
    </xf>
    <xf numFmtId="0" fontId="2" fillId="15" borderId="87" xfId="0" applyNumberFormat="1" applyFont="1" applyFill="1" applyBorder="1" applyAlignment="1" applyProtection="1">
      <alignment horizontal="center" vertical="center"/>
      <protection hidden="1"/>
    </xf>
    <xf numFmtId="0" fontId="2" fillId="15" borderId="88" xfId="0" applyNumberFormat="1" applyFont="1" applyFill="1" applyBorder="1" applyAlignment="1" applyProtection="1">
      <alignment horizontal="center" vertical="center"/>
      <protection hidden="1"/>
    </xf>
    <xf numFmtId="176" fontId="2" fillId="4" borderId="7" xfId="0" applyNumberFormat="1" applyFont="1" applyFill="1" applyBorder="1" applyAlignment="1" applyProtection="1">
      <alignment horizontal="center" vertical="center"/>
      <protection hidden="1"/>
    </xf>
    <xf numFmtId="176" fontId="2" fillId="4" borderId="86" xfId="0" applyNumberFormat="1" applyFont="1" applyFill="1" applyBorder="1" applyAlignment="1" applyProtection="1">
      <alignment horizontal="center" vertical="center"/>
      <protection hidden="1"/>
    </xf>
    <xf numFmtId="178" fontId="2" fillId="0" borderId="0" xfId="0" applyNumberFormat="1" applyFont="1" applyBorder="1" applyAlignment="1">
      <alignment horizontal="right" vertical="center"/>
    </xf>
    <xf numFmtId="178" fontId="2" fillId="0" borderId="0" xfId="0" applyNumberFormat="1" applyFont="1" applyBorder="1" applyAlignment="1">
      <alignment horizontal="left" vertical="center"/>
    </xf>
    <xf numFmtId="176" fontId="17" fillId="14" borderId="23" xfId="0" applyNumberFormat="1" applyFont="1" applyFill="1" applyBorder="1" applyAlignment="1">
      <alignment horizontal="center" vertical="center" shrinkToFit="1"/>
    </xf>
    <xf numFmtId="178" fontId="2" fillId="0" borderId="30" xfId="0" applyNumberFormat="1" applyFont="1" applyBorder="1" applyAlignment="1" applyProtection="1">
      <alignment horizontal="right" vertical="center"/>
      <protection locked="0"/>
    </xf>
    <xf numFmtId="186" fontId="2" fillId="5" borderId="47" xfId="0" applyNumberFormat="1" applyFont="1" applyFill="1" applyBorder="1" applyAlignment="1">
      <alignment horizontal="center" vertical="center" shrinkToFit="1"/>
    </xf>
    <xf numFmtId="186" fontId="2" fillId="5" borderId="59" xfId="0" applyNumberFormat="1" applyFont="1" applyFill="1" applyBorder="1" applyAlignment="1">
      <alignment horizontal="center" vertical="center" shrinkToFit="1"/>
    </xf>
    <xf numFmtId="0" fontId="33" fillId="0" borderId="79" xfId="0" applyFont="1" applyBorder="1" applyAlignment="1">
      <alignment horizontal="center" vertical="center"/>
    </xf>
    <xf numFmtId="0" fontId="33" fillId="0" borderId="25" xfId="0" applyFont="1" applyBorder="1" applyAlignment="1">
      <alignment horizontal="center" vertical="center"/>
    </xf>
    <xf numFmtId="0" fontId="33" fillId="0" borderId="80" xfId="0" applyFont="1" applyBorder="1" applyAlignment="1">
      <alignment horizontal="center" vertical="center"/>
    </xf>
    <xf numFmtId="0" fontId="34" fillId="0" borderId="2" xfId="0" applyFont="1" applyBorder="1" applyAlignment="1">
      <alignment horizontal="center" vertical="center"/>
    </xf>
    <xf numFmtId="0" fontId="34" fillId="0" borderId="1" xfId="0" applyFont="1" applyBorder="1" applyAlignment="1">
      <alignment horizontal="center" vertical="center"/>
    </xf>
    <xf numFmtId="0" fontId="2" fillId="0" borderId="5" xfId="0" applyFont="1" applyBorder="1" applyAlignment="1">
      <alignment horizontal="left" vertical="center"/>
    </xf>
    <xf numFmtId="0" fontId="2" fillId="4" borderId="1" xfId="0" applyFont="1" applyFill="1" applyBorder="1" applyAlignment="1">
      <alignment horizontal="center" vertical="center"/>
    </xf>
    <xf numFmtId="0" fontId="8" fillId="15" borderId="96" xfId="0" applyFont="1" applyFill="1" applyBorder="1" applyAlignment="1">
      <alignment horizontal="center" vertical="center" shrinkToFit="1"/>
    </xf>
    <xf numFmtId="0" fontId="8" fillId="15" borderId="99" xfId="0" applyFont="1" applyFill="1" applyBorder="1" applyAlignment="1">
      <alignment horizontal="center" vertical="center" shrinkToFit="1"/>
    </xf>
    <xf numFmtId="0" fontId="8" fillId="15" borderId="97" xfId="0" applyFont="1" applyFill="1" applyBorder="1" applyAlignment="1">
      <alignment horizontal="center" vertical="center" shrinkToFit="1"/>
    </xf>
    <xf numFmtId="176" fontId="2" fillId="0" borderId="0" xfId="0" applyNumberFormat="1" applyFont="1" applyFill="1" applyBorder="1" applyAlignment="1" applyProtection="1">
      <alignment horizontal="left" vertical="center" shrinkToFit="1"/>
      <protection hidden="1"/>
    </xf>
    <xf numFmtId="176" fontId="2" fillId="6" borderId="31" xfId="0" applyNumberFormat="1" applyFont="1" applyFill="1" applyBorder="1" applyAlignment="1" applyProtection="1">
      <alignment horizontal="left" vertical="center"/>
      <protection locked="0"/>
    </xf>
    <xf numFmtId="176" fontId="2" fillId="6" borderId="30" xfId="0" applyNumberFormat="1" applyFont="1" applyFill="1" applyBorder="1" applyAlignment="1" applyProtection="1">
      <alignment horizontal="left" vertical="center"/>
      <protection locked="0"/>
    </xf>
    <xf numFmtId="176" fontId="5" fillId="5" borderId="17" xfId="0" applyNumberFormat="1" applyFont="1" applyFill="1" applyBorder="1" applyAlignment="1" applyProtection="1">
      <alignment horizontal="center" vertical="center" shrinkToFit="1"/>
    </xf>
    <xf numFmtId="176" fontId="5" fillId="5" borderId="0" xfId="0" applyNumberFormat="1" applyFont="1" applyFill="1" applyBorder="1" applyAlignment="1" applyProtection="1">
      <alignment horizontal="center" vertical="center" shrinkToFit="1"/>
    </xf>
    <xf numFmtId="176" fontId="2" fillId="5" borderId="0" xfId="0" applyNumberFormat="1" applyFont="1" applyFill="1" applyBorder="1" applyAlignment="1" applyProtection="1">
      <alignment horizontal="right" vertical="center"/>
    </xf>
    <xf numFmtId="176" fontId="2" fillId="5" borderId="21" xfId="0" applyNumberFormat="1" applyFont="1" applyFill="1" applyBorder="1" applyAlignment="1" applyProtection="1">
      <alignment horizontal="center" vertical="center"/>
    </xf>
    <xf numFmtId="176" fontId="2" fillId="5" borderId="5" xfId="0" applyNumberFormat="1" applyFont="1" applyFill="1" applyBorder="1" applyAlignment="1" applyProtection="1">
      <alignment horizontal="center" vertical="center"/>
    </xf>
    <xf numFmtId="178" fontId="2" fillId="5" borderId="0" xfId="0" applyNumberFormat="1" applyFont="1" applyFill="1" applyBorder="1" applyAlignment="1" applyProtection="1">
      <alignment horizontal="right" vertical="center"/>
    </xf>
    <xf numFmtId="178" fontId="2" fillId="5" borderId="15" xfId="0" applyNumberFormat="1" applyFont="1" applyFill="1" applyBorder="1" applyAlignment="1" applyProtection="1">
      <alignment horizontal="right" vertical="center"/>
    </xf>
    <xf numFmtId="178" fontId="2" fillId="8" borderId="17" xfId="0" applyNumberFormat="1" applyFont="1" applyFill="1" applyBorder="1" applyAlignment="1" applyProtection="1">
      <alignment horizontal="left" vertical="center"/>
    </xf>
    <xf numFmtId="178" fontId="2" fillId="8" borderId="0" xfId="0" applyNumberFormat="1" applyFont="1" applyFill="1" applyBorder="1" applyAlignment="1" applyProtection="1">
      <alignment horizontal="left" vertical="center"/>
    </xf>
    <xf numFmtId="176" fontId="2" fillId="8" borderId="19" xfId="0" applyNumberFormat="1" applyFont="1" applyFill="1" applyBorder="1" applyAlignment="1" applyProtection="1">
      <alignment horizontal="right" vertical="center"/>
    </xf>
    <xf numFmtId="176" fontId="2" fillId="8" borderId="21" xfId="0" applyNumberFormat="1" applyFont="1" applyFill="1" applyBorder="1" applyAlignment="1" applyProtection="1">
      <alignment horizontal="left" vertical="center"/>
    </xf>
    <xf numFmtId="176" fontId="2" fillId="8" borderId="5" xfId="0" applyNumberFormat="1" applyFont="1" applyFill="1" applyBorder="1" applyAlignment="1" applyProtection="1">
      <alignment horizontal="left" vertical="center"/>
    </xf>
    <xf numFmtId="180" fontId="2" fillId="0" borderId="13" xfId="0" applyNumberFormat="1" applyFont="1" applyBorder="1" applyAlignment="1">
      <alignment horizontal="left" vertical="center"/>
    </xf>
    <xf numFmtId="0" fontId="2" fillId="4" borderId="1" xfId="0" applyFont="1" applyFill="1" applyBorder="1" applyAlignment="1">
      <alignment horizontal="right" vertical="center"/>
    </xf>
    <xf numFmtId="0" fontId="2" fillId="4" borderId="1" xfId="0" applyFont="1" applyFill="1" applyBorder="1" applyAlignment="1" applyProtection="1">
      <alignment horizontal="center" vertical="top"/>
      <protection hidden="1"/>
    </xf>
    <xf numFmtId="0" fontId="2" fillId="0" borderId="94" xfId="0" applyFont="1" applyBorder="1" applyAlignment="1" applyProtection="1">
      <alignment horizontal="center" vertical="center"/>
    </xf>
    <xf numFmtId="0" fontId="2" fillId="0" borderId="95" xfId="0" applyFont="1" applyBorder="1" applyAlignment="1" applyProtection="1">
      <alignment horizontal="center" vertical="center"/>
    </xf>
    <xf numFmtId="0" fontId="8" fillId="0" borderId="96" xfId="0" applyFont="1" applyBorder="1" applyAlignment="1" applyProtection="1">
      <alignment horizontal="center" vertical="center"/>
    </xf>
    <xf numFmtId="0" fontId="8" fillId="0" borderId="97" xfId="0" applyFont="1" applyBorder="1" applyAlignment="1" applyProtection="1">
      <alignment horizontal="center" vertical="center"/>
    </xf>
    <xf numFmtId="0" fontId="8" fillId="15" borderId="3" xfId="0" applyFont="1" applyFill="1" applyBorder="1" applyAlignment="1">
      <alignment horizontal="center" vertical="center"/>
    </xf>
    <xf numFmtId="0" fontId="8" fillId="15" borderId="4" xfId="0" applyFont="1" applyFill="1" applyBorder="1" applyAlignment="1">
      <alignment horizontal="center" vertical="center"/>
    </xf>
    <xf numFmtId="0" fontId="8" fillId="15" borderId="89" xfId="0" applyNumberFormat="1" applyFont="1" applyFill="1" applyBorder="1" applyAlignment="1" applyProtection="1">
      <alignment horizontal="center" vertical="center"/>
      <protection hidden="1"/>
    </xf>
    <xf numFmtId="0" fontId="8" fillId="15" borderId="90" xfId="0" applyNumberFormat="1" applyFont="1" applyFill="1" applyBorder="1" applyAlignment="1" applyProtection="1">
      <alignment horizontal="center" vertical="center"/>
      <protection hidden="1"/>
    </xf>
    <xf numFmtId="192" fontId="2" fillId="0" borderId="82" xfId="0" applyNumberFormat="1" applyFont="1" applyBorder="1" applyAlignment="1" applyProtection="1">
      <alignment horizontal="center" vertical="center"/>
      <protection locked="0"/>
    </xf>
    <xf numFmtId="193" fontId="2" fillId="0" borderId="82" xfId="0" applyNumberFormat="1" applyFont="1" applyBorder="1" applyAlignment="1" applyProtection="1">
      <alignment horizontal="center" vertical="center"/>
      <protection locked="0"/>
    </xf>
    <xf numFmtId="193" fontId="2" fillId="0" borderId="83" xfId="0" applyNumberFormat="1" applyFont="1" applyBorder="1" applyAlignment="1" applyProtection="1">
      <alignment horizontal="center" vertical="center"/>
      <protection locked="0"/>
    </xf>
    <xf numFmtId="0" fontId="2" fillId="0" borderId="0" xfId="0" applyFont="1" applyAlignment="1">
      <alignment horizontal="center" vertical="center"/>
    </xf>
    <xf numFmtId="176" fontId="2" fillId="0" borderId="23" xfId="0" applyNumberFormat="1" applyFont="1" applyBorder="1" applyAlignment="1">
      <alignment horizontal="right" vertical="center" shrinkToFit="1"/>
    </xf>
    <xf numFmtId="176" fontId="8" fillId="14" borderId="23" xfId="0" applyNumberFormat="1" applyFont="1" applyFill="1" applyBorder="1" applyAlignment="1">
      <alignment horizontal="center" vertical="center" shrinkToFit="1"/>
    </xf>
    <xf numFmtId="176" fontId="17" fillId="14" borderId="0" xfId="0" applyNumberFormat="1" applyFont="1" applyFill="1" applyAlignment="1">
      <alignment horizontal="center" vertical="center" shrinkToFit="1"/>
    </xf>
    <xf numFmtId="0" fontId="2" fillId="0" borderId="91"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176" fontId="5" fillId="4" borderId="35" xfId="0" applyNumberFormat="1" applyFont="1" applyFill="1" applyBorder="1" applyAlignment="1" applyProtection="1">
      <alignment horizontal="center" vertical="center" shrinkToFit="1"/>
    </xf>
    <xf numFmtId="176" fontId="5" fillId="4" borderId="2" xfId="0" applyNumberFormat="1" applyFont="1" applyFill="1" applyBorder="1" applyAlignment="1" applyProtection="1">
      <alignment horizontal="center" vertical="center" shrinkToFit="1"/>
    </xf>
    <xf numFmtId="0" fontId="5" fillId="4" borderId="2" xfId="0" applyFont="1" applyFill="1" applyBorder="1" applyAlignment="1" applyProtection="1">
      <alignment horizontal="center" vertical="center" shrinkToFit="1"/>
    </xf>
    <xf numFmtId="0" fontId="5" fillId="4" borderId="93" xfId="0" applyFont="1" applyFill="1" applyBorder="1" applyAlignment="1" applyProtection="1">
      <alignment horizontal="center" vertical="center" shrinkToFit="1"/>
    </xf>
    <xf numFmtId="176" fontId="2" fillId="4" borderId="1" xfId="0" applyNumberFormat="1" applyFont="1" applyFill="1" applyBorder="1" applyAlignment="1" applyProtection="1">
      <alignment horizontal="center" vertical="top" shrinkToFit="1"/>
      <protection hidden="1"/>
    </xf>
    <xf numFmtId="177" fontId="5" fillId="0" borderId="1" xfId="0" applyNumberFormat="1" applyFont="1" applyFill="1" applyBorder="1" applyAlignment="1" applyProtection="1">
      <alignment horizontal="center" vertical="center" shrinkToFit="1"/>
    </xf>
    <xf numFmtId="183" fontId="5" fillId="0" borderId="1" xfId="0" applyNumberFormat="1"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15" borderId="37" xfId="0" applyFont="1" applyFill="1" applyBorder="1" applyAlignment="1" applyProtection="1">
      <alignment horizontal="center" vertical="center"/>
    </xf>
    <xf numFmtId="176" fontId="2" fillId="0" borderId="30" xfId="0" applyNumberFormat="1" applyFont="1" applyBorder="1" applyAlignment="1" applyProtection="1">
      <alignment horizontal="center" vertical="center"/>
    </xf>
    <xf numFmtId="176" fontId="2" fillId="0" borderId="30" xfId="0" applyNumberFormat="1" applyFont="1" applyBorder="1" applyAlignment="1" applyProtection="1">
      <alignment horizontal="right" vertical="center"/>
    </xf>
    <xf numFmtId="0" fontId="8" fillId="0" borderId="0" xfId="0" quotePrefix="1" applyFont="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0" fillId="0" borderId="7" xfId="0" applyBorder="1" applyAlignment="1">
      <alignment horizontal="center" vertical="center"/>
    </xf>
    <xf numFmtId="0" fontId="0" fillId="0" borderId="1" xfId="0" applyBorder="1" applyAlignment="1">
      <alignment horizontal="center" vertical="center"/>
    </xf>
    <xf numFmtId="176" fontId="2" fillId="6" borderId="30" xfId="0" applyNumberFormat="1" applyFont="1" applyFill="1" applyBorder="1" applyAlignment="1" applyProtection="1">
      <alignment horizontal="right" vertical="center"/>
      <protection locked="0"/>
    </xf>
    <xf numFmtId="176" fontId="2" fillId="6" borderId="33" xfId="0" applyNumberFormat="1" applyFont="1" applyFill="1" applyBorder="1" applyAlignment="1" applyProtection="1">
      <alignment horizontal="right" vertical="center"/>
      <protection locked="0"/>
    </xf>
    <xf numFmtId="176" fontId="2" fillId="0" borderId="30" xfId="0" applyNumberFormat="1" applyFont="1" applyBorder="1" applyAlignment="1" applyProtection="1">
      <alignment horizontal="left" vertical="center"/>
      <protection locked="0"/>
    </xf>
    <xf numFmtId="0" fontId="2" fillId="0" borderId="60" xfId="0" applyFont="1" applyBorder="1" applyAlignment="1" applyProtection="1">
      <alignment horizontal="right" vertical="center" shrinkToFit="1"/>
      <protection locked="0"/>
    </xf>
    <xf numFmtId="0" fontId="2" fillId="15" borderId="56" xfId="0" applyFont="1" applyFill="1" applyBorder="1" applyAlignment="1" applyProtection="1">
      <alignment horizontal="center" vertical="center" shrinkToFit="1"/>
      <protection locked="0"/>
    </xf>
    <xf numFmtId="0" fontId="2" fillId="15" borderId="57" xfId="0" applyFont="1" applyFill="1" applyBorder="1" applyAlignment="1" applyProtection="1">
      <alignment horizontal="center" vertical="center" shrinkToFit="1"/>
      <protection locked="0"/>
    </xf>
    <xf numFmtId="0" fontId="2" fillId="15" borderId="46" xfId="0" applyFont="1" applyFill="1" applyBorder="1" applyAlignment="1" applyProtection="1">
      <alignment horizontal="center" vertical="center" shrinkToFit="1"/>
      <protection locked="0"/>
    </xf>
    <xf numFmtId="0" fontId="2" fillId="16" borderId="56" xfId="0" applyFont="1" applyFill="1" applyBorder="1" applyAlignment="1" applyProtection="1">
      <alignment horizontal="center" vertical="center" shrinkToFit="1"/>
      <protection locked="0"/>
    </xf>
    <xf numFmtId="0" fontId="2" fillId="16" borderId="57" xfId="0" applyFont="1" applyFill="1" applyBorder="1" applyAlignment="1" applyProtection="1">
      <alignment horizontal="center" vertical="center" shrinkToFit="1"/>
      <protection locked="0"/>
    </xf>
    <xf numFmtId="0" fontId="2" fillId="16" borderId="46" xfId="0" applyFont="1" applyFill="1" applyBorder="1" applyAlignment="1" applyProtection="1">
      <alignment horizontal="center" vertical="center" shrinkToFit="1"/>
      <protection locked="0"/>
    </xf>
    <xf numFmtId="0" fontId="8" fillId="15" borderId="56" xfId="0" applyFont="1" applyFill="1" applyBorder="1" applyAlignment="1" applyProtection="1">
      <alignment horizontal="center" vertical="center" shrinkToFit="1"/>
      <protection locked="0"/>
    </xf>
    <xf numFmtId="0" fontId="8" fillId="15" borderId="57" xfId="0" applyFont="1" applyFill="1" applyBorder="1" applyAlignment="1" applyProtection="1">
      <alignment horizontal="center" vertical="center" shrinkToFit="1"/>
      <protection locked="0"/>
    </xf>
    <xf numFmtId="0" fontId="8" fillId="15" borderId="46" xfId="0" applyFont="1" applyFill="1" applyBorder="1" applyAlignment="1" applyProtection="1">
      <alignment horizontal="center" vertical="center" shrinkToFit="1"/>
      <protection locked="0"/>
    </xf>
    <xf numFmtId="0" fontId="2" fillId="16" borderId="66" xfId="0" applyFont="1" applyFill="1" applyBorder="1" applyAlignment="1" applyProtection="1">
      <alignment horizontal="center" vertical="center" shrinkToFit="1"/>
      <protection locked="0"/>
    </xf>
    <xf numFmtId="0" fontId="2" fillId="16" borderId="67" xfId="0" applyFont="1" applyFill="1" applyBorder="1" applyAlignment="1" applyProtection="1">
      <alignment horizontal="center" vertical="center" shrinkToFit="1"/>
      <protection locked="0"/>
    </xf>
    <xf numFmtId="0" fontId="8" fillId="15" borderId="44" xfId="0" applyFont="1" applyFill="1" applyBorder="1" applyAlignment="1">
      <alignment horizontal="center" vertical="center" shrinkToFit="1"/>
    </xf>
    <xf numFmtId="0" fontId="8" fillId="15" borderId="7" xfId="0" applyFont="1" applyFill="1" applyBorder="1" applyAlignment="1">
      <alignment horizontal="center" vertical="center" shrinkToFit="1"/>
    </xf>
    <xf numFmtId="0" fontId="8" fillId="15" borderId="42" xfId="0" applyFont="1" applyFill="1" applyBorder="1" applyAlignment="1">
      <alignment horizontal="center" vertical="center" shrinkToFit="1"/>
    </xf>
    <xf numFmtId="0" fontId="2" fillId="16" borderId="9" xfId="0" applyFont="1" applyFill="1" applyBorder="1" applyAlignment="1">
      <alignment horizontal="center" vertical="center" shrinkToFit="1"/>
    </xf>
    <xf numFmtId="0" fontId="2" fillId="16" borderId="8" xfId="0" applyFont="1" applyFill="1" applyBorder="1" applyAlignment="1">
      <alignment horizontal="center" vertical="center" shrinkToFit="1"/>
    </xf>
    <xf numFmtId="0" fontId="2" fillId="15" borderId="44" xfId="0" applyFont="1" applyFill="1" applyBorder="1" applyAlignment="1">
      <alignment horizontal="center" vertical="center" shrinkToFit="1"/>
    </xf>
    <xf numFmtId="0" fontId="2" fillId="15" borderId="7" xfId="0" applyFont="1" applyFill="1" applyBorder="1" applyAlignment="1">
      <alignment horizontal="center" vertical="center" shrinkToFit="1"/>
    </xf>
    <xf numFmtId="0" fontId="2" fillId="15" borderId="1" xfId="0" applyFont="1" applyFill="1" applyBorder="1" applyAlignment="1">
      <alignment horizontal="center" vertical="center" shrinkToFit="1"/>
    </xf>
    <xf numFmtId="0" fontId="2" fillId="15" borderId="47" xfId="0" applyFont="1" applyFill="1" applyBorder="1" applyAlignment="1">
      <alignment horizontal="center" vertical="center" shrinkToFit="1"/>
    </xf>
    <xf numFmtId="0" fontId="2" fillId="15" borderId="54" xfId="0" applyFont="1" applyFill="1" applyBorder="1" applyAlignment="1" applyProtection="1">
      <alignment horizontal="center" vertical="center" shrinkToFit="1"/>
      <protection locked="0"/>
    </xf>
    <xf numFmtId="0" fontId="2" fillId="15" borderId="2" xfId="0" applyFont="1" applyFill="1" applyBorder="1" applyAlignment="1" applyProtection="1">
      <alignment horizontal="center" vertical="center" shrinkToFit="1"/>
      <protection locked="0"/>
    </xf>
    <xf numFmtId="0" fontId="2" fillId="15" borderId="55" xfId="0" applyFont="1" applyFill="1" applyBorder="1" applyAlignment="1" applyProtection="1">
      <alignment horizontal="center" vertical="center" shrinkToFit="1"/>
      <protection locked="0"/>
    </xf>
    <xf numFmtId="0" fontId="2" fillId="16" borderId="54" xfId="0" applyFont="1" applyFill="1" applyBorder="1" applyAlignment="1" applyProtection="1">
      <alignment horizontal="center" vertical="center" shrinkToFit="1"/>
      <protection locked="0"/>
    </xf>
    <xf numFmtId="0" fontId="2" fillId="16" borderId="2" xfId="0" applyFont="1" applyFill="1" applyBorder="1" applyAlignment="1" applyProtection="1">
      <alignment horizontal="center" vertical="center" shrinkToFit="1"/>
      <protection locked="0"/>
    </xf>
    <xf numFmtId="0" fontId="2" fillId="16" borderId="55" xfId="0" applyFont="1" applyFill="1" applyBorder="1" applyAlignment="1" applyProtection="1">
      <alignment horizontal="center" vertical="center" shrinkToFit="1"/>
      <protection locked="0"/>
    </xf>
    <xf numFmtId="0" fontId="8" fillId="15" borderId="54" xfId="0" applyFont="1" applyFill="1" applyBorder="1" applyAlignment="1" applyProtection="1">
      <alignment horizontal="center" vertical="center" shrinkToFit="1"/>
      <protection locked="0"/>
    </xf>
    <xf numFmtId="0" fontId="8" fillId="15" borderId="2" xfId="0" applyFont="1" applyFill="1" applyBorder="1" applyAlignment="1" applyProtection="1">
      <alignment horizontal="center" vertical="center" shrinkToFit="1"/>
      <protection locked="0"/>
    </xf>
    <xf numFmtId="0" fontId="8" fillId="15" borderId="55" xfId="0" applyFont="1" applyFill="1" applyBorder="1" applyAlignment="1" applyProtection="1">
      <alignment horizontal="center" vertical="center" shrinkToFit="1"/>
      <protection locked="0"/>
    </xf>
    <xf numFmtId="0" fontId="2" fillId="16" borderId="35" xfId="0" applyFont="1" applyFill="1" applyBorder="1" applyAlignment="1" applyProtection="1">
      <alignment horizontal="center" vertical="center" shrinkToFit="1"/>
      <protection locked="0"/>
    </xf>
    <xf numFmtId="0" fontId="2" fillId="16" borderId="34" xfId="0" applyFont="1" applyFill="1" applyBorder="1" applyAlignment="1" applyProtection="1">
      <alignment horizontal="center" vertical="center" shrinkToFit="1"/>
      <protection locked="0"/>
    </xf>
    <xf numFmtId="0" fontId="2" fillId="5" borderId="1" xfId="0" applyFont="1" applyFill="1" applyBorder="1" applyAlignment="1" applyProtection="1">
      <alignment horizontal="center" vertical="center" wrapText="1"/>
      <protection locked="0"/>
    </xf>
    <xf numFmtId="0" fontId="8" fillId="18" borderId="1" xfId="0" applyFont="1" applyFill="1" applyBorder="1" applyAlignment="1">
      <alignment horizontal="center" vertical="center"/>
    </xf>
    <xf numFmtId="0" fontId="8" fillId="18" borderId="2" xfId="0" applyFont="1" applyFill="1" applyBorder="1" applyAlignment="1">
      <alignment horizontal="center" vertical="center"/>
    </xf>
    <xf numFmtId="190" fontId="2" fillId="0" borderId="5" xfId="0" applyNumberFormat="1" applyFont="1" applyBorder="1" applyAlignment="1">
      <alignment horizontal="center" vertical="center"/>
    </xf>
    <xf numFmtId="0" fontId="8" fillId="0" borderId="0" xfId="0" applyFont="1" applyAlignment="1">
      <alignment horizontal="center" vertical="center"/>
    </xf>
    <xf numFmtId="0" fontId="2" fillId="0" borderId="64" xfId="0" applyFont="1" applyBorder="1" applyAlignment="1">
      <alignment horizontal="center" vertical="center"/>
    </xf>
    <xf numFmtId="0" fontId="8" fillId="0" borderId="64" xfId="0" applyFont="1" applyBorder="1" applyAlignment="1">
      <alignment horizontal="center" vertical="center"/>
    </xf>
    <xf numFmtId="0" fontId="17" fillId="0" borderId="64" xfId="0" applyFont="1" applyBorder="1" applyAlignment="1">
      <alignment horizontal="center" vertical="center"/>
    </xf>
    <xf numFmtId="186" fontId="2" fillId="3" borderId="13" xfId="0" applyNumberFormat="1" applyFont="1" applyFill="1" applyBorder="1" applyAlignment="1" applyProtection="1">
      <alignment horizontal="center" vertical="center"/>
    </xf>
    <xf numFmtId="0" fontId="2" fillId="0" borderId="22" xfId="0" applyFont="1" applyBorder="1" applyAlignment="1" applyProtection="1">
      <alignment horizontal="right" vertical="center"/>
    </xf>
    <xf numFmtId="0" fontId="2" fillId="0" borderId="23" xfId="0" applyFont="1" applyBorder="1" applyAlignment="1" applyProtection="1">
      <alignment horizontal="right" vertical="center"/>
    </xf>
    <xf numFmtId="0" fontId="2" fillId="15" borderId="39" xfId="0" applyFont="1" applyFill="1" applyBorder="1" applyAlignment="1" applyProtection="1">
      <alignment horizontal="right" vertical="center"/>
    </xf>
    <xf numFmtId="0" fontId="2" fillId="15" borderId="25" xfId="0" applyFont="1" applyFill="1" applyBorder="1" applyAlignment="1" applyProtection="1">
      <alignment horizontal="right" vertical="center"/>
    </xf>
    <xf numFmtId="176" fontId="2" fillId="8" borderId="21" xfId="0" applyNumberFormat="1" applyFont="1" applyFill="1" applyBorder="1" applyAlignment="1" applyProtection="1">
      <alignment horizontal="center" vertical="center" shrinkToFit="1"/>
    </xf>
    <xf numFmtId="176" fontId="2" fillId="8" borderId="5" xfId="0" applyNumberFormat="1" applyFont="1" applyFill="1" applyBorder="1" applyAlignment="1" applyProtection="1">
      <alignment horizontal="center" vertical="center" shrinkToFit="1"/>
    </xf>
    <xf numFmtId="178" fontId="2" fillId="8" borderId="0" xfId="0" applyNumberFormat="1" applyFont="1" applyFill="1" applyBorder="1" applyAlignment="1" applyProtection="1">
      <alignment horizontal="left" vertical="center" shrinkToFit="1"/>
    </xf>
    <xf numFmtId="176" fontId="2" fillId="8" borderId="0" xfId="0" applyNumberFormat="1" applyFont="1" applyFill="1" applyBorder="1" applyAlignment="1" applyProtection="1">
      <alignment horizontal="right" vertical="center" shrinkToFit="1"/>
    </xf>
    <xf numFmtId="176" fontId="2" fillId="8" borderId="15" xfId="0" applyNumberFormat="1" applyFont="1" applyFill="1" applyBorder="1" applyAlignment="1" applyProtection="1">
      <alignment horizontal="right" vertical="center" shrinkToFit="1"/>
    </xf>
    <xf numFmtId="0" fontId="2" fillId="7" borderId="23" xfId="0" applyFont="1" applyFill="1" applyBorder="1" applyAlignment="1" applyProtection="1">
      <alignment horizontal="center" vertical="center" shrinkToFit="1"/>
    </xf>
    <xf numFmtId="186" fontId="8" fillId="7" borderId="13" xfId="0" applyNumberFormat="1" applyFont="1" applyFill="1" applyBorder="1" applyAlignment="1" applyProtection="1">
      <alignment horizontal="center" vertical="center" shrinkToFit="1"/>
    </xf>
    <xf numFmtId="0" fontId="2" fillId="8" borderId="3" xfId="0" applyFont="1" applyFill="1" applyBorder="1" applyAlignment="1" applyProtection="1">
      <alignment horizontal="center" vertical="center" shrinkToFit="1"/>
    </xf>
    <xf numFmtId="0" fontId="2" fillId="8" borderId="14" xfId="0" applyFont="1" applyFill="1" applyBorder="1" applyAlignment="1" applyProtection="1">
      <alignment horizontal="center" vertical="center" shrinkToFit="1"/>
    </xf>
    <xf numFmtId="0" fontId="2" fillId="8" borderId="4" xfId="0" applyFont="1" applyFill="1" applyBorder="1" applyAlignment="1" applyProtection="1">
      <alignment horizontal="center" vertical="center" shrinkToFit="1"/>
    </xf>
    <xf numFmtId="0" fontId="2" fillId="0" borderId="63"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179" fontId="2" fillId="7" borderId="25" xfId="0" applyNumberFormat="1" applyFont="1" applyFill="1" applyBorder="1" applyAlignment="1" applyProtection="1">
      <alignment horizontal="center" vertical="center" shrinkToFit="1"/>
    </xf>
    <xf numFmtId="0" fontId="2" fillId="5" borderId="7" xfId="0" applyFont="1" applyFill="1" applyBorder="1" applyAlignment="1" applyProtection="1">
      <alignment horizontal="center" vertical="center" shrinkToFit="1"/>
      <protection locked="0"/>
    </xf>
    <xf numFmtId="0" fontId="2" fillId="17" borderId="7" xfId="0" applyFont="1" applyFill="1" applyBorder="1" applyAlignment="1" applyProtection="1">
      <alignment horizontal="center" vertical="center" shrinkToFit="1"/>
      <protection locked="0"/>
    </xf>
    <xf numFmtId="0" fontId="2" fillId="5" borderId="42" xfId="0" applyFont="1" applyFill="1" applyBorder="1" applyAlignment="1">
      <alignment horizontal="center" vertical="center" shrinkToFit="1"/>
    </xf>
    <xf numFmtId="0" fontId="8" fillId="17" borderId="43" xfId="0" applyFont="1" applyFill="1" applyBorder="1" applyAlignment="1">
      <alignment horizontal="center" vertical="center" shrinkToFit="1"/>
    </xf>
    <xf numFmtId="0" fontId="8" fillId="17" borderId="44" xfId="0" applyFont="1" applyFill="1" applyBorder="1" applyAlignment="1">
      <alignment horizontal="center" vertical="center" shrinkToFit="1"/>
    </xf>
    <xf numFmtId="0" fontId="8" fillId="5" borderId="42" xfId="0" applyFont="1" applyFill="1" applyBorder="1" applyAlignment="1">
      <alignment horizontal="center" vertical="center" shrinkToFit="1"/>
    </xf>
    <xf numFmtId="0" fontId="8" fillId="5" borderId="43" xfId="0" applyFont="1" applyFill="1" applyBorder="1" applyAlignment="1">
      <alignment horizontal="center" vertical="center" shrinkToFit="1"/>
    </xf>
    <xf numFmtId="0" fontId="7" fillId="0" borderId="23" xfId="0" applyFont="1" applyFill="1" applyBorder="1" applyAlignment="1" applyProtection="1">
      <alignment horizontal="center" vertical="center"/>
      <protection locked="0"/>
    </xf>
    <xf numFmtId="178" fontId="2" fillId="0" borderId="0" xfId="0" applyNumberFormat="1" applyFont="1" applyBorder="1" applyAlignment="1" applyProtection="1">
      <alignment horizontal="right" vertical="center"/>
      <protection locked="0"/>
    </xf>
    <xf numFmtId="178" fontId="2" fillId="0" borderId="0" xfId="0" applyNumberFormat="1" applyFont="1" applyBorder="1" applyAlignment="1" applyProtection="1">
      <alignment horizontal="left" vertical="center"/>
      <protection locked="0"/>
    </xf>
    <xf numFmtId="0" fontId="2" fillId="16" borderId="4" xfId="0" applyFont="1" applyFill="1" applyBorder="1" applyAlignment="1" applyProtection="1">
      <alignment horizontal="center" vertical="center" shrinkToFit="1"/>
      <protection locked="0"/>
    </xf>
    <xf numFmtId="0" fontId="2" fillId="16" borderId="1" xfId="0" applyFont="1" applyFill="1" applyBorder="1" applyAlignment="1" applyProtection="1">
      <alignment horizontal="center" vertical="center" shrinkToFit="1"/>
      <protection locked="0"/>
    </xf>
    <xf numFmtId="0" fontId="2" fillId="16" borderId="3" xfId="0" applyFont="1" applyFill="1" applyBorder="1" applyAlignment="1" applyProtection="1">
      <alignment horizontal="center" vertical="center" shrinkToFit="1"/>
      <protection locked="0"/>
    </xf>
    <xf numFmtId="0" fontId="2" fillId="5" borderId="45" xfId="0" applyFont="1" applyFill="1" applyBorder="1" applyAlignment="1">
      <alignment horizontal="center" vertical="center" shrinkToFit="1"/>
    </xf>
    <xf numFmtId="0" fontId="2" fillId="17" borderId="58" xfId="0" applyFont="1" applyFill="1" applyBorder="1" applyAlignment="1">
      <alignment horizontal="center" vertical="center" shrinkToFit="1"/>
    </xf>
    <xf numFmtId="177" fontId="2" fillId="11" borderId="25" xfId="0" quotePrefix="1" applyNumberFormat="1" applyFont="1" applyFill="1" applyBorder="1" applyAlignment="1" applyProtection="1">
      <alignment horizontal="center" vertical="center" shrinkToFit="1"/>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4" borderId="1" xfId="0" applyFont="1" applyFill="1" applyBorder="1" applyAlignment="1" applyProtection="1">
      <alignment horizontal="center" vertical="top"/>
    </xf>
    <xf numFmtId="178" fontId="2" fillId="5" borderId="0" xfId="0" applyNumberFormat="1" applyFont="1" applyFill="1" applyBorder="1" applyAlignment="1" applyProtection="1">
      <alignment horizontal="right" vertical="center" shrinkToFit="1"/>
    </xf>
    <xf numFmtId="176" fontId="8" fillId="5" borderId="21" xfId="0" applyNumberFormat="1" applyFont="1" applyFill="1" applyBorder="1" applyAlignment="1" applyProtection="1">
      <alignment horizontal="center" vertical="center" shrinkToFit="1"/>
    </xf>
    <xf numFmtId="176" fontId="8" fillId="5" borderId="5" xfId="0" applyNumberFormat="1" applyFont="1" applyFill="1" applyBorder="1" applyAlignment="1" applyProtection="1">
      <alignment horizontal="center" vertical="center" shrinkToFit="1"/>
    </xf>
    <xf numFmtId="176" fontId="8" fillId="8" borderId="0" xfId="0" applyNumberFormat="1" applyFont="1" applyFill="1" applyBorder="1" applyAlignment="1" applyProtection="1">
      <alignment horizontal="right" vertical="center" shrinkToFit="1"/>
    </xf>
    <xf numFmtId="176" fontId="8" fillId="8" borderId="19" xfId="0" applyNumberFormat="1" applyFont="1" applyFill="1" applyBorder="1" applyAlignment="1" applyProtection="1">
      <alignment horizontal="right" vertical="center" shrinkToFit="1"/>
    </xf>
    <xf numFmtId="179" fontId="2" fillId="0" borderId="23" xfId="0" applyNumberFormat="1" applyFont="1" applyBorder="1" applyAlignment="1" applyProtection="1">
      <alignment horizontal="center" vertical="center" shrinkToFit="1"/>
    </xf>
    <xf numFmtId="0" fontId="2" fillId="0" borderId="23" xfId="0" applyFont="1" applyBorder="1" applyAlignment="1" applyProtection="1">
      <alignment horizontal="center" vertical="center" shrinkToFit="1"/>
    </xf>
    <xf numFmtId="0" fontId="2" fillId="0" borderId="0" xfId="0" applyNumberFormat="1" applyFont="1" applyBorder="1" applyAlignment="1" applyProtection="1">
      <alignment horizontal="center" vertical="center" shrinkToFit="1"/>
    </xf>
    <xf numFmtId="179" fontId="5" fillId="0" borderId="1" xfId="0" applyNumberFormat="1" applyFont="1" applyFill="1" applyBorder="1" applyAlignment="1" applyProtection="1">
      <alignment horizontal="center" vertical="center" shrinkToFit="1"/>
    </xf>
    <xf numFmtId="184" fontId="5" fillId="0" borderId="1" xfId="0" applyNumberFormat="1" applyFont="1" applyFill="1" applyBorder="1" applyAlignment="1" applyProtection="1">
      <alignment horizontal="center" vertical="center" shrinkToFit="1"/>
    </xf>
    <xf numFmtId="0" fontId="2" fillId="9" borderId="17" xfId="0" applyFont="1" applyFill="1" applyBorder="1" applyAlignment="1" applyProtection="1">
      <alignment horizontal="center" vertical="center" shrinkToFit="1"/>
    </xf>
    <xf numFmtId="0" fontId="2" fillId="9" borderId="0" xfId="0" applyFont="1" applyFill="1" applyBorder="1" applyAlignment="1" applyProtection="1">
      <alignment horizontal="center" vertical="center" shrinkToFit="1"/>
    </xf>
    <xf numFmtId="179" fontId="2" fillId="11" borderId="25" xfId="0" applyNumberFormat="1" applyFont="1" applyFill="1" applyBorder="1" applyAlignment="1" applyProtection="1">
      <alignment horizontal="center" vertical="center" shrinkToFit="1"/>
    </xf>
    <xf numFmtId="179" fontId="2" fillId="11" borderId="27" xfId="0" applyNumberFormat="1" applyFont="1" applyFill="1" applyBorder="1" applyAlignment="1" applyProtection="1">
      <alignment horizontal="center" vertical="center" shrinkToFit="1"/>
    </xf>
    <xf numFmtId="183" fontId="8" fillId="9" borderId="6" xfId="0" applyNumberFormat="1" applyFont="1" applyFill="1" applyBorder="1" applyAlignment="1" applyProtection="1">
      <alignment horizontal="left" vertical="center" shrinkToFit="1"/>
    </xf>
    <xf numFmtId="184" fontId="2" fillId="9" borderId="0" xfId="0" applyNumberFormat="1" applyFont="1" applyFill="1" applyBorder="1" applyAlignment="1" applyProtection="1">
      <alignment horizontal="center" vertical="center" shrinkToFit="1"/>
    </xf>
    <xf numFmtId="183" fontId="8" fillId="7" borderId="13" xfId="0" applyNumberFormat="1" applyFont="1"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xf>
    <xf numFmtId="0" fontId="2" fillId="5" borderId="14" xfId="0" applyFont="1" applyFill="1" applyBorder="1" applyAlignment="1" applyProtection="1">
      <alignment horizontal="center" vertical="center" shrinkToFit="1"/>
    </xf>
    <xf numFmtId="0" fontId="2" fillId="5" borderId="4" xfId="0" applyFont="1" applyFill="1" applyBorder="1" applyAlignment="1" applyProtection="1">
      <alignment horizontal="center" vertical="center" shrinkToFit="1"/>
    </xf>
    <xf numFmtId="0" fontId="36" fillId="0" borderId="79" xfId="0" applyFont="1" applyBorder="1" applyAlignment="1">
      <alignment horizontal="center" vertical="center"/>
    </xf>
    <xf numFmtId="0" fontId="36" fillId="0" borderId="25" xfId="0" applyFont="1" applyBorder="1" applyAlignment="1">
      <alignment horizontal="center" vertical="center"/>
    </xf>
    <xf numFmtId="0" fontId="36" fillId="0" borderId="80" xfId="0" applyFont="1" applyBorder="1" applyAlignment="1">
      <alignment horizontal="center" vertical="center"/>
    </xf>
    <xf numFmtId="0" fontId="36" fillId="0" borderId="2" xfId="0" applyFont="1" applyBorder="1" applyAlignment="1">
      <alignment horizontal="center" vertical="center"/>
    </xf>
    <xf numFmtId="0" fontId="36" fillId="0" borderId="1" xfId="0" applyFont="1" applyBorder="1" applyAlignment="1">
      <alignment horizontal="center" vertical="center"/>
    </xf>
    <xf numFmtId="0" fontId="8" fillId="15" borderId="34" xfId="0" applyFont="1" applyFill="1" applyBorder="1" applyAlignment="1">
      <alignment horizontal="center" vertical="center"/>
    </xf>
    <xf numFmtId="0" fontId="8" fillId="15" borderId="13" xfId="0" applyFont="1" applyFill="1" applyBorder="1" applyAlignment="1">
      <alignment horizontal="center" vertical="center"/>
    </xf>
    <xf numFmtId="0" fontId="8" fillId="15" borderId="35" xfId="0" applyFont="1" applyFill="1" applyBorder="1" applyAlignment="1">
      <alignment horizontal="center" vertical="center"/>
    </xf>
    <xf numFmtId="0" fontId="8" fillId="0" borderId="13" xfId="0" applyFont="1" applyBorder="1" applyAlignment="1" applyProtection="1">
      <alignment horizontal="center" vertical="center" shrinkToFit="1"/>
    </xf>
    <xf numFmtId="182" fontId="5" fillId="0" borderId="1" xfId="0" applyNumberFormat="1" applyFont="1" applyFill="1" applyBorder="1" applyAlignment="1" applyProtection="1">
      <alignment horizontal="center" vertical="center" shrinkToFit="1"/>
    </xf>
    <xf numFmtId="179" fontId="8" fillId="0" borderId="1" xfId="0" applyNumberFormat="1" applyFont="1" applyBorder="1" applyAlignment="1" applyProtection="1">
      <alignment horizontal="center" vertical="center"/>
    </xf>
    <xf numFmtId="177" fontId="4" fillId="0" borderId="1" xfId="0" applyNumberFormat="1" applyFont="1" applyBorder="1" applyAlignment="1" applyProtection="1">
      <alignment horizontal="center" vertical="center"/>
    </xf>
    <xf numFmtId="0" fontId="2" fillId="0" borderId="13" xfId="0"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shrinkToFit="1"/>
    </xf>
    <xf numFmtId="0" fontId="2" fillId="0" borderId="2" xfId="0" applyFont="1" applyBorder="1" applyAlignment="1" applyProtection="1">
      <alignment horizontal="center" vertical="center"/>
      <protection locked="0"/>
    </xf>
    <xf numFmtId="176" fontId="2" fillId="7" borderId="1" xfId="0" applyNumberFormat="1"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top"/>
    </xf>
    <xf numFmtId="176" fontId="2" fillId="4" borderId="1" xfId="0" applyNumberFormat="1" applyFont="1" applyFill="1" applyBorder="1" applyAlignment="1" applyProtection="1">
      <alignment horizontal="center" vertical="top" shrinkToFit="1"/>
    </xf>
    <xf numFmtId="186" fontId="2" fillId="0" borderId="0" xfId="0" applyNumberFormat="1" applyFont="1" applyAlignment="1">
      <alignment horizontal="right" vertical="center"/>
    </xf>
    <xf numFmtId="0" fontId="7" fillId="0" borderId="0" xfId="0" applyFont="1" applyFill="1" applyAlignment="1">
      <alignment horizontal="center" vertical="center"/>
    </xf>
    <xf numFmtId="0" fontId="2" fillId="0" borderId="94" xfId="0" applyNumberFormat="1" applyFont="1" applyBorder="1" applyAlignment="1" applyProtection="1">
      <alignment horizontal="center" vertical="center"/>
    </xf>
    <xf numFmtId="0" fontId="2" fillId="0" borderId="95" xfId="0" applyNumberFormat="1" applyFont="1" applyBorder="1" applyAlignment="1" applyProtection="1">
      <alignment horizontal="center" vertical="center"/>
    </xf>
    <xf numFmtId="0" fontId="8" fillId="15" borderId="34" xfId="0" applyFont="1" applyFill="1" applyBorder="1" applyAlignment="1">
      <alignment horizontal="center" vertical="center" wrapText="1"/>
    </xf>
    <xf numFmtId="0" fontId="36" fillId="5" borderId="79" xfId="0" applyFont="1" applyFill="1" applyBorder="1" applyAlignment="1">
      <alignment horizontal="center" vertical="center"/>
    </xf>
    <xf numFmtId="0" fontId="36" fillId="5" borderId="25" xfId="0" applyFont="1" applyFill="1" applyBorder="1" applyAlignment="1">
      <alignment horizontal="center" vertical="center"/>
    </xf>
    <xf numFmtId="0" fontId="36" fillId="5" borderId="80" xfId="0" applyFont="1" applyFill="1" applyBorder="1" applyAlignment="1">
      <alignment horizontal="center" vertical="center"/>
    </xf>
    <xf numFmtId="0" fontId="36" fillId="5" borderId="34" xfId="0" applyFont="1" applyFill="1" applyBorder="1" applyAlignment="1">
      <alignment horizontal="center" vertical="center" shrinkToFit="1"/>
    </xf>
    <xf numFmtId="0" fontId="36" fillId="5" borderId="13" xfId="0" applyFont="1" applyFill="1" applyBorder="1" applyAlignment="1">
      <alignment horizontal="center" vertical="center" shrinkToFit="1"/>
    </xf>
    <xf numFmtId="0" fontId="36" fillId="5" borderId="35" xfId="0" applyFont="1" applyFill="1" applyBorder="1" applyAlignment="1">
      <alignment horizontal="center" vertical="center" shrinkToFit="1"/>
    </xf>
    <xf numFmtId="184" fontId="2" fillId="3" borderId="13" xfId="0" applyNumberFormat="1" applyFont="1" applyFill="1" applyBorder="1" applyAlignment="1" applyProtection="1">
      <alignment horizontal="center" vertical="center" shrinkToFit="1"/>
    </xf>
    <xf numFmtId="186" fontId="2" fillId="3" borderId="13" xfId="0" applyNumberFormat="1" applyFont="1" applyFill="1" applyBorder="1" applyAlignment="1" applyProtection="1">
      <alignment horizontal="center" vertical="center" shrinkToFit="1"/>
    </xf>
    <xf numFmtId="0" fontId="2" fillId="5" borderId="1" xfId="0" applyFont="1" applyFill="1" applyBorder="1" applyAlignment="1">
      <alignment horizontal="center" vertical="center" wrapText="1"/>
    </xf>
    <xf numFmtId="0" fontId="4" fillId="14" borderId="76" xfId="0" applyFont="1" applyFill="1" applyBorder="1" applyAlignment="1">
      <alignment horizontal="center" vertical="center"/>
    </xf>
    <xf numFmtId="0" fontId="4" fillId="14" borderId="77" xfId="0" applyFont="1" applyFill="1" applyBorder="1" applyAlignment="1">
      <alignment horizontal="center" vertical="center"/>
    </xf>
    <xf numFmtId="0" fontId="4" fillId="14" borderId="78" xfId="0" applyFont="1" applyFill="1" applyBorder="1" applyAlignment="1">
      <alignment horizontal="center" vertical="center"/>
    </xf>
    <xf numFmtId="0" fontId="2" fillId="4" borderId="34" xfId="0" applyFont="1" applyFill="1" applyBorder="1" applyAlignment="1" applyProtection="1">
      <alignment horizontal="center" vertical="top"/>
      <protection hidden="1"/>
    </xf>
    <xf numFmtId="0" fontId="2" fillId="4" borderId="35" xfId="0" applyFont="1" applyFill="1" applyBorder="1" applyAlignment="1" applyProtection="1">
      <alignment horizontal="center" vertical="top"/>
      <protection hidden="1"/>
    </xf>
    <xf numFmtId="181" fontId="2" fillId="4" borderId="3" xfId="0" applyNumberFormat="1" applyFont="1" applyFill="1" applyBorder="1" applyAlignment="1" applyProtection="1">
      <alignment horizontal="center" vertical="center" shrinkToFit="1"/>
      <protection hidden="1"/>
    </xf>
    <xf numFmtId="181" fontId="2" fillId="4" borderId="4" xfId="0" applyNumberFormat="1" applyFont="1" applyFill="1" applyBorder="1" applyAlignment="1" applyProtection="1">
      <alignment horizontal="center" vertical="center" shrinkToFit="1"/>
      <protection hidden="1"/>
    </xf>
    <xf numFmtId="181" fontId="2" fillId="7" borderId="3" xfId="0" applyNumberFormat="1" applyFont="1" applyFill="1" applyBorder="1" applyAlignment="1" applyProtection="1">
      <alignment horizontal="center" vertical="center" shrinkToFit="1"/>
      <protection hidden="1"/>
    </xf>
    <xf numFmtId="181" fontId="2" fillId="7" borderId="4" xfId="0" applyNumberFormat="1" applyFont="1" applyFill="1" applyBorder="1" applyAlignment="1" applyProtection="1">
      <alignment horizontal="center" vertical="center" shrinkToFit="1"/>
      <protection hidden="1"/>
    </xf>
    <xf numFmtId="181" fontId="2" fillId="7" borderId="1" xfId="0" applyNumberFormat="1" applyFont="1" applyFill="1" applyBorder="1" applyAlignment="1">
      <alignment horizontal="center" vertical="top" wrapText="1"/>
    </xf>
    <xf numFmtId="181" fontId="2" fillId="7" borderId="1" xfId="0" applyNumberFormat="1" applyFont="1" applyFill="1" applyBorder="1" applyAlignment="1" applyProtection="1">
      <alignment horizontal="center" vertical="top" wrapText="1" shrinkToFit="1"/>
      <protection hidden="1"/>
    </xf>
    <xf numFmtId="0" fontId="2" fillId="0" borderId="14" xfId="0" applyFont="1" applyBorder="1" applyAlignment="1">
      <alignment horizontal="left" vertical="center"/>
    </xf>
    <xf numFmtId="0" fontId="2" fillId="0" borderId="4" xfId="0" applyFont="1" applyBorder="1" applyAlignment="1">
      <alignment horizontal="left"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30" fillId="0" borderId="0" xfId="1"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2" fillId="4" borderId="14" xfId="0" applyFont="1" applyFill="1" applyBorder="1" applyAlignment="1">
      <alignment horizontal="center" vertical="center"/>
    </xf>
    <xf numFmtId="0" fontId="2" fillId="4" borderId="4" xfId="0" applyFont="1" applyFill="1" applyBorder="1" applyAlignment="1">
      <alignment horizontal="center" vertical="center"/>
    </xf>
    <xf numFmtId="0" fontId="2" fillId="14" borderId="1" xfId="0" applyFont="1" applyFill="1" applyBorder="1" applyAlignment="1">
      <alignment horizontal="center" vertical="center"/>
    </xf>
    <xf numFmtId="0" fontId="8" fillId="5" borderId="7"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15" borderId="3" xfId="0" applyFont="1" applyFill="1" applyBorder="1" applyAlignment="1">
      <alignment horizontal="center" vertical="center" shrinkToFit="1"/>
    </xf>
    <xf numFmtId="0" fontId="2" fillId="15" borderId="14" xfId="0" applyFont="1" applyFill="1" applyBorder="1" applyAlignment="1">
      <alignment horizontal="center" vertical="center" shrinkToFit="1"/>
    </xf>
    <xf numFmtId="0" fontId="2" fillId="15" borderId="4" xfId="0" applyFont="1" applyFill="1" applyBorder="1" applyAlignment="1">
      <alignment horizontal="center" vertical="center" shrinkToFit="1"/>
    </xf>
    <xf numFmtId="0" fontId="2" fillId="0" borderId="1" xfId="0" applyFont="1" applyBorder="1" applyProtection="1">
      <alignment vertical="center"/>
      <protection locked="0"/>
    </xf>
  </cellXfs>
  <cellStyles count="2">
    <cellStyle name="一般" xfId="0" builtinId="0"/>
    <cellStyle name="超連結" xfId="1" builtinId="8"/>
  </cellStyles>
  <dxfs count="0"/>
  <tableStyles count="0" defaultTableStyle="TableStyleMedium9" defaultPivotStyle="PivotStyleLight16"/>
  <colors>
    <mruColors>
      <color rgb="FFFFFF00"/>
      <color rgb="FFCCFFCC"/>
      <color rgb="FF99FFCC"/>
      <color rgb="FF800000"/>
      <color rgb="FFFFFFCC"/>
      <color rgb="FFFFFF99"/>
      <color rgb="FFCCFFFF"/>
      <color rgb="FF33CC33"/>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280357</xdr:colOff>
      <xdr:row>16</xdr:row>
      <xdr:rowOff>285750</xdr:rowOff>
    </xdr:to>
    <xdr:pic>
      <xdr:nvPicPr>
        <xdr:cNvPr id="3" name="圖片 2" descr="歡迎加入好友圖片.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0" y="400050"/>
          <a:ext cx="8708077" cy="6286500"/>
        </a:xfrm>
        <a:prstGeom prst="rect">
          <a:avLst/>
        </a:prstGeom>
      </xdr:spPr>
    </xdr:pic>
    <xdr:clientData/>
  </xdr:twoCellAnchor>
  <xdr:twoCellAnchor>
    <xdr:from>
      <xdr:col>13</xdr:col>
      <xdr:colOff>0</xdr:colOff>
      <xdr:row>5</xdr:row>
      <xdr:rowOff>0</xdr:rowOff>
    </xdr:from>
    <xdr:to>
      <xdr:col>19</xdr:col>
      <xdr:colOff>0</xdr:colOff>
      <xdr:row>6</xdr:row>
      <xdr:rowOff>0</xdr:rowOff>
    </xdr:to>
    <xdr:sp macro="[0]!GotoSheet" textlink="">
      <xdr:nvSpPr>
        <xdr:cNvPr id="4" name="矩形 3">
          <a:extLst>
            <a:ext uri="{FF2B5EF4-FFF2-40B4-BE49-F238E27FC236}">
              <a16:creationId xmlns:a16="http://schemas.microsoft.com/office/drawing/2014/main" id="{00000000-0008-0000-0000-000004000000}"/>
            </a:ext>
          </a:extLst>
        </xdr:cNvPr>
        <xdr:cNvSpPr/>
      </xdr:nvSpPr>
      <xdr:spPr>
        <a:xfrm>
          <a:off x="8915400" y="2000250"/>
          <a:ext cx="4114800" cy="40005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b="1">
              <a:latin typeface="微軟正黑體" pitchFamily="34" charset="-120"/>
              <a:ea typeface="微軟正黑體" pitchFamily="34" charset="-120"/>
            </a:rPr>
            <a:t>官方算法</a:t>
          </a:r>
          <a:r>
            <a:rPr lang="en-US" altLang="zh-TW" sz="1600" b="1">
              <a:latin typeface="微軟正黑體" pitchFamily="34" charset="-120"/>
              <a:ea typeface="微軟正黑體" pitchFamily="34" charset="-120"/>
            </a:rPr>
            <a:t>_</a:t>
          </a:r>
          <a:r>
            <a:rPr lang="zh-TW" altLang="en-US" sz="1600" b="1">
              <a:latin typeface="微軟正黑體" pitchFamily="34" charset="-120"/>
              <a:ea typeface="微軟正黑體" pitchFamily="34" charset="-120"/>
            </a:rPr>
            <a:t>到職日前四捨五入到小數第二位</a:t>
          </a:r>
        </a:p>
      </xdr:txBody>
    </xdr:sp>
    <xdr:clientData/>
  </xdr:twoCellAnchor>
  <xdr:twoCellAnchor>
    <xdr:from>
      <xdr:col>13</xdr:col>
      <xdr:colOff>0</xdr:colOff>
      <xdr:row>6</xdr:row>
      <xdr:rowOff>1</xdr:rowOff>
    </xdr:from>
    <xdr:to>
      <xdr:col>19</xdr:col>
      <xdr:colOff>0</xdr:colOff>
      <xdr:row>7</xdr:row>
      <xdr:rowOff>1</xdr:rowOff>
    </xdr:to>
    <xdr:sp macro="[0]!GotoSheet" textlink="">
      <xdr:nvSpPr>
        <xdr:cNvPr id="5" name="矩形 4">
          <a:extLst>
            <a:ext uri="{FF2B5EF4-FFF2-40B4-BE49-F238E27FC236}">
              <a16:creationId xmlns:a16="http://schemas.microsoft.com/office/drawing/2014/main" id="{00000000-0008-0000-0000-000005000000}"/>
            </a:ext>
          </a:extLst>
        </xdr:cNvPr>
        <xdr:cNvSpPr/>
      </xdr:nvSpPr>
      <xdr:spPr>
        <a:xfrm>
          <a:off x="8915400" y="2400301"/>
          <a:ext cx="4114800" cy="40005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b="1">
              <a:latin typeface="微軟正黑體" pitchFamily="34" charset="-120"/>
              <a:ea typeface="微軟正黑體" pitchFamily="34" charset="-120"/>
            </a:rPr>
            <a:t>到職日後四捨五入進位至整數</a:t>
          </a:r>
        </a:p>
      </xdr:txBody>
    </xdr:sp>
    <xdr:clientData/>
  </xdr:twoCellAnchor>
  <xdr:twoCellAnchor>
    <xdr:from>
      <xdr:col>13</xdr:col>
      <xdr:colOff>0</xdr:colOff>
      <xdr:row>7</xdr:row>
      <xdr:rowOff>1</xdr:rowOff>
    </xdr:from>
    <xdr:to>
      <xdr:col>19</xdr:col>
      <xdr:colOff>0</xdr:colOff>
      <xdr:row>8</xdr:row>
      <xdr:rowOff>0</xdr:rowOff>
    </xdr:to>
    <xdr:sp macro="[0]!GotoSheet" textlink="">
      <xdr:nvSpPr>
        <xdr:cNvPr id="6" name="矩形 5">
          <a:extLst>
            <a:ext uri="{FF2B5EF4-FFF2-40B4-BE49-F238E27FC236}">
              <a16:creationId xmlns:a16="http://schemas.microsoft.com/office/drawing/2014/main" id="{00000000-0008-0000-0000-000006000000}"/>
            </a:ext>
          </a:extLst>
        </xdr:cNvPr>
        <xdr:cNvSpPr/>
      </xdr:nvSpPr>
      <xdr:spPr>
        <a:xfrm>
          <a:off x="8915400" y="2800351"/>
          <a:ext cx="4114800" cy="40004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b="1">
              <a:latin typeface="微軟正黑體" pitchFamily="34" charset="-120"/>
              <a:ea typeface="微軟正黑體" pitchFamily="34" charset="-120"/>
            </a:rPr>
            <a:t>到職日後強制進位至整數</a:t>
          </a:r>
        </a:p>
      </xdr:txBody>
    </xdr:sp>
    <xdr:clientData/>
  </xdr:twoCellAnchor>
  <xdr:twoCellAnchor>
    <xdr:from>
      <xdr:col>13</xdr:col>
      <xdr:colOff>0</xdr:colOff>
      <xdr:row>8</xdr:row>
      <xdr:rowOff>1</xdr:rowOff>
    </xdr:from>
    <xdr:to>
      <xdr:col>19</xdr:col>
      <xdr:colOff>0</xdr:colOff>
      <xdr:row>9</xdr:row>
      <xdr:rowOff>1</xdr:rowOff>
    </xdr:to>
    <xdr:sp macro="[0]!GotoSheet" textlink="">
      <xdr:nvSpPr>
        <xdr:cNvPr id="7" name="矩形 6">
          <a:extLst>
            <a:ext uri="{FF2B5EF4-FFF2-40B4-BE49-F238E27FC236}">
              <a16:creationId xmlns:a16="http://schemas.microsoft.com/office/drawing/2014/main" id="{00000000-0008-0000-0000-000007000000}"/>
            </a:ext>
          </a:extLst>
        </xdr:cNvPr>
        <xdr:cNvSpPr/>
      </xdr:nvSpPr>
      <xdr:spPr>
        <a:xfrm>
          <a:off x="8915400" y="3200401"/>
          <a:ext cx="4114800" cy="40005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b="1">
              <a:latin typeface="微軟正黑體" pitchFamily="34" charset="-120"/>
              <a:ea typeface="微軟正黑體" pitchFamily="34" charset="-120"/>
            </a:rPr>
            <a:t>特休試算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6350</xdr:colOff>
      <xdr:row>11</xdr:row>
      <xdr:rowOff>0</xdr:rowOff>
    </xdr:from>
    <xdr:to>
      <xdr:col>32</xdr:col>
      <xdr:colOff>152400</xdr:colOff>
      <xdr:row>11</xdr:row>
      <xdr:rowOff>6350</xdr:rowOff>
    </xdr:to>
    <xdr:cxnSp macro="">
      <xdr:nvCxnSpPr>
        <xdr:cNvPr id="2" name="直線單箭頭接點 1">
          <a:extLst>
            <a:ext uri="{FF2B5EF4-FFF2-40B4-BE49-F238E27FC236}">
              <a16:creationId xmlns:a16="http://schemas.microsoft.com/office/drawing/2014/main" id="{00000000-0008-0000-0400-000002000000}"/>
            </a:ext>
          </a:extLst>
        </xdr:cNvPr>
        <xdr:cNvCxnSpPr/>
      </xdr:nvCxnSpPr>
      <xdr:spPr>
        <a:xfrm flipV="1">
          <a:off x="1447800" y="3314700"/>
          <a:ext cx="856615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6350</xdr:rowOff>
    </xdr:from>
    <xdr:to>
      <xdr:col>17</xdr:col>
      <xdr:colOff>311150</xdr:colOff>
      <xdr:row>9</xdr:row>
      <xdr:rowOff>12700</xdr:rowOff>
    </xdr:to>
    <xdr:cxnSp macro="">
      <xdr:nvCxnSpPr>
        <xdr:cNvPr id="3" name="直線單箭頭接點 2">
          <a:extLst>
            <a:ext uri="{FF2B5EF4-FFF2-40B4-BE49-F238E27FC236}">
              <a16:creationId xmlns:a16="http://schemas.microsoft.com/office/drawing/2014/main" id="{00000000-0008-0000-0400-000003000000}"/>
            </a:ext>
          </a:extLst>
        </xdr:cNvPr>
        <xdr:cNvCxnSpPr/>
      </xdr:nvCxnSpPr>
      <xdr:spPr>
        <a:xfrm flipV="1">
          <a:off x="1441450" y="2482850"/>
          <a:ext cx="3873500" cy="63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317500</xdr:colOff>
      <xdr:row>9</xdr:row>
      <xdr:rowOff>0</xdr:rowOff>
    </xdr:from>
    <xdr:to>
      <xdr:col>30</xdr:col>
      <xdr:colOff>6350</xdr:colOff>
      <xdr:row>9</xdr:row>
      <xdr:rowOff>12700</xdr:rowOff>
    </xdr:to>
    <xdr:cxnSp macro="">
      <xdr:nvCxnSpPr>
        <xdr:cNvPr id="4" name="直線單箭頭接點 3">
          <a:extLst>
            <a:ext uri="{FF2B5EF4-FFF2-40B4-BE49-F238E27FC236}">
              <a16:creationId xmlns:a16="http://schemas.microsoft.com/office/drawing/2014/main" id="{00000000-0008-0000-0400-000004000000}"/>
            </a:ext>
          </a:extLst>
        </xdr:cNvPr>
        <xdr:cNvCxnSpPr/>
      </xdr:nvCxnSpPr>
      <xdr:spPr>
        <a:xfrm>
          <a:off x="5321300" y="2476500"/>
          <a:ext cx="389890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xdr:colOff>
      <xdr:row>12</xdr:row>
      <xdr:rowOff>0</xdr:rowOff>
    </xdr:from>
    <xdr:to>
      <xdr:col>32</xdr:col>
      <xdr:colOff>152400</xdr:colOff>
      <xdr:row>12</xdr:row>
      <xdr:rowOff>6350</xdr:rowOff>
    </xdr:to>
    <xdr:cxnSp macro="">
      <xdr:nvCxnSpPr>
        <xdr:cNvPr id="5" name="直線單箭頭接點 4">
          <a:extLst>
            <a:ext uri="{FF2B5EF4-FFF2-40B4-BE49-F238E27FC236}">
              <a16:creationId xmlns:a16="http://schemas.microsoft.com/office/drawing/2014/main" id="{00000000-0008-0000-0400-000005000000}"/>
            </a:ext>
          </a:extLst>
        </xdr:cNvPr>
        <xdr:cNvCxnSpPr/>
      </xdr:nvCxnSpPr>
      <xdr:spPr>
        <a:xfrm flipV="1">
          <a:off x="1835150" y="3276600"/>
          <a:ext cx="1651000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xdr:row>
      <xdr:rowOff>0</xdr:rowOff>
    </xdr:from>
    <xdr:to>
      <xdr:col>18</xdr:col>
      <xdr:colOff>0</xdr:colOff>
      <xdr:row>10</xdr:row>
      <xdr:rowOff>12700</xdr:rowOff>
    </xdr:to>
    <xdr:cxnSp macro="">
      <xdr:nvCxnSpPr>
        <xdr:cNvPr id="6" name="直線單箭頭接點 5">
          <a:extLst>
            <a:ext uri="{FF2B5EF4-FFF2-40B4-BE49-F238E27FC236}">
              <a16:creationId xmlns:a16="http://schemas.microsoft.com/office/drawing/2014/main" id="{00000000-0008-0000-0400-000006000000}"/>
            </a:ext>
          </a:extLst>
        </xdr:cNvPr>
        <xdr:cNvCxnSpPr/>
      </xdr:nvCxnSpPr>
      <xdr:spPr>
        <a:xfrm flipV="1">
          <a:off x="1828800" y="2724150"/>
          <a:ext cx="720090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10</xdr:row>
      <xdr:rowOff>0</xdr:rowOff>
    </xdr:from>
    <xdr:to>
      <xdr:col>30</xdr:col>
      <xdr:colOff>6350</xdr:colOff>
      <xdr:row>10</xdr:row>
      <xdr:rowOff>12700</xdr:rowOff>
    </xdr:to>
    <xdr:cxnSp macro="">
      <xdr:nvCxnSpPr>
        <xdr:cNvPr id="7" name="直線單箭頭接點 6">
          <a:extLst>
            <a:ext uri="{FF2B5EF4-FFF2-40B4-BE49-F238E27FC236}">
              <a16:creationId xmlns:a16="http://schemas.microsoft.com/office/drawing/2014/main" id="{00000000-0008-0000-0400-000007000000}"/>
            </a:ext>
          </a:extLst>
        </xdr:cNvPr>
        <xdr:cNvCxnSpPr/>
      </xdr:nvCxnSpPr>
      <xdr:spPr>
        <a:xfrm>
          <a:off x="9029700" y="2724150"/>
          <a:ext cx="720725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6350</xdr:colOff>
      <xdr:row>13</xdr:row>
      <xdr:rowOff>0</xdr:rowOff>
    </xdr:from>
    <xdr:to>
      <xdr:col>32</xdr:col>
      <xdr:colOff>152400</xdr:colOff>
      <xdr:row>13</xdr:row>
      <xdr:rowOff>6350</xdr:rowOff>
    </xdr:to>
    <xdr:cxnSp macro="">
      <xdr:nvCxnSpPr>
        <xdr:cNvPr id="2" name="直線單箭頭接點 1">
          <a:extLst>
            <a:ext uri="{FF2B5EF4-FFF2-40B4-BE49-F238E27FC236}">
              <a16:creationId xmlns:a16="http://schemas.microsoft.com/office/drawing/2014/main" id="{00000000-0008-0000-0500-000002000000}"/>
            </a:ext>
          </a:extLst>
        </xdr:cNvPr>
        <xdr:cNvCxnSpPr/>
      </xdr:nvCxnSpPr>
      <xdr:spPr>
        <a:xfrm flipV="1">
          <a:off x="1640417" y="3225800"/>
          <a:ext cx="1401445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12</xdr:row>
      <xdr:rowOff>0</xdr:rowOff>
    </xdr:from>
    <xdr:to>
      <xdr:col>32</xdr:col>
      <xdr:colOff>152400</xdr:colOff>
      <xdr:row>12</xdr:row>
      <xdr:rowOff>6350</xdr:rowOff>
    </xdr:to>
    <xdr:cxnSp macro="">
      <xdr:nvCxnSpPr>
        <xdr:cNvPr id="12" name="直線單箭頭接點 11">
          <a:extLst>
            <a:ext uri="{FF2B5EF4-FFF2-40B4-BE49-F238E27FC236}">
              <a16:creationId xmlns:a16="http://schemas.microsoft.com/office/drawing/2014/main" id="{00000000-0008-0000-0600-00000C000000}"/>
            </a:ext>
          </a:extLst>
        </xdr:cNvPr>
        <xdr:cNvCxnSpPr/>
      </xdr:nvCxnSpPr>
      <xdr:spPr>
        <a:xfrm flipV="1">
          <a:off x="1447800" y="3352800"/>
          <a:ext cx="856615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6350</xdr:rowOff>
    </xdr:from>
    <xdr:to>
      <xdr:col>17</xdr:col>
      <xdr:colOff>311150</xdr:colOff>
      <xdr:row>9</xdr:row>
      <xdr:rowOff>12700</xdr:rowOff>
    </xdr:to>
    <xdr:cxnSp macro="">
      <xdr:nvCxnSpPr>
        <xdr:cNvPr id="17" name="直線單箭頭接點 16">
          <a:extLst>
            <a:ext uri="{FF2B5EF4-FFF2-40B4-BE49-F238E27FC236}">
              <a16:creationId xmlns:a16="http://schemas.microsoft.com/office/drawing/2014/main" id="{00000000-0008-0000-0600-000011000000}"/>
            </a:ext>
          </a:extLst>
        </xdr:cNvPr>
        <xdr:cNvCxnSpPr/>
      </xdr:nvCxnSpPr>
      <xdr:spPr>
        <a:xfrm flipV="1">
          <a:off x="1784350" y="2520950"/>
          <a:ext cx="3873500" cy="63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317500</xdr:colOff>
      <xdr:row>9</xdr:row>
      <xdr:rowOff>0</xdr:rowOff>
    </xdr:from>
    <xdr:to>
      <xdr:col>30</xdr:col>
      <xdr:colOff>6350</xdr:colOff>
      <xdr:row>9</xdr:row>
      <xdr:rowOff>12700</xdr:rowOff>
    </xdr:to>
    <xdr:cxnSp macro="">
      <xdr:nvCxnSpPr>
        <xdr:cNvPr id="19" name="直線單箭頭接點 18">
          <a:extLst>
            <a:ext uri="{FF2B5EF4-FFF2-40B4-BE49-F238E27FC236}">
              <a16:creationId xmlns:a16="http://schemas.microsoft.com/office/drawing/2014/main" id="{00000000-0008-0000-0600-000013000000}"/>
            </a:ext>
          </a:extLst>
        </xdr:cNvPr>
        <xdr:cNvCxnSpPr/>
      </xdr:nvCxnSpPr>
      <xdr:spPr>
        <a:xfrm>
          <a:off x="5664200" y="2514600"/>
          <a:ext cx="389890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xdr:colOff>
      <xdr:row>12</xdr:row>
      <xdr:rowOff>0</xdr:rowOff>
    </xdr:from>
    <xdr:to>
      <xdr:col>32</xdr:col>
      <xdr:colOff>152400</xdr:colOff>
      <xdr:row>12</xdr:row>
      <xdr:rowOff>6350</xdr:rowOff>
    </xdr:to>
    <xdr:cxnSp macro="">
      <xdr:nvCxnSpPr>
        <xdr:cNvPr id="5" name="直線單箭頭接點 4">
          <a:extLst>
            <a:ext uri="{FF2B5EF4-FFF2-40B4-BE49-F238E27FC236}">
              <a16:creationId xmlns:a16="http://schemas.microsoft.com/office/drawing/2014/main" id="{00000000-0008-0000-0600-000005000000}"/>
            </a:ext>
          </a:extLst>
        </xdr:cNvPr>
        <xdr:cNvCxnSpPr/>
      </xdr:nvCxnSpPr>
      <xdr:spPr>
        <a:xfrm flipV="1">
          <a:off x="1835150" y="3276600"/>
          <a:ext cx="1651000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xdr:row>
      <xdr:rowOff>0</xdr:rowOff>
    </xdr:from>
    <xdr:to>
      <xdr:col>18</xdr:col>
      <xdr:colOff>0</xdr:colOff>
      <xdr:row>10</xdr:row>
      <xdr:rowOff>12700</xdr:rowOff>
    </xdr:to>
    <xdr:cxnSp macro="">
      <xdr:nvCxnSpPr>
        <xdr:cNvPr id="6" name="直線單箭頭接點 5">
          <a:extLst>
            <a:ext uri="{FF2B5EF4-FFF2-40B4-BE49-F238E27FC236}">
              <a16:creationId xmlns:a16="http://schemas.microsoft.com/office/drawing/2014/main" id="{00000000-0008-0000-0600-000006000000}"/>
            </a:ext>
          </a:extLst>
        </xdr:cNvPr>
        <xdr:cNvCxnSpPr/>
      </xdr:nvCxnSpPr>
      <xdr:spPr>
        <a:xfrm flipV="1">
          <a:off x="1828800" y="2724150"/>
          <a:ext cx="720090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10</xdr:row>
      <xdr:rowOff>0</xdr:rowOff>
    </xdr:from>
    <xdr:to>
      <xdr:col>30</xdr:col>
      <xdr:colOff>6350</xdr:colOff>
      <xdr:row>10</xdr:row>
      <xdr:rowOff>12700</xdr:rowOff>
    </xdr:to>
    <xdr:cxnSp macro="">
      <xdr:nvCxnSpPr>
        <xdr:cNvPr id="7" name="直線單箭頭接點 6">
          <a:extLst>
            <a:ext uri="{FF2B5EF4-FFF2-40B4-BE49-F238E27FC236}">
              <a16:creationId xmlns:a16="http://schemas.microsoft.com/office/drawing/2014/main" id="{00000000-0008-0000-0600-000007000000}"/>
            </a:ext>
          </a:extLst>
        </xdr:cNvPr>
        <xdr:cNvCxnSpPr/>
      </xdr:nvCxnSpPr>
      <xdr:spPr>
        <a:xfrm>
          <a:off x="9029700" y="2724150"/>
          <a:ext cx="720725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8</xdr:row>
      <xdr:rowOff>0</xdr:rowOff>
    </xdr:from>
    <xdr:to>
      <xdr:col>7</xdr:col>
      <xdr:colOff>0</xdr:colOff>
      <xdr:row>9</xdr:row>
      <xdr:rowOff>0</xdr:rowOff>
    </xdr:to>
    <xdr:sp macro="[0]!特休統計" textlink="">
      <xdr:nvSpPr>
        <xdr:cNvPr id="5" name="矩形 4">
          <a:extLst>
            <a:ext uri="{FF2B5EF4-FFF2-40B4-BE49-F238E27FC236}">
              <a16:creationId xmlns:a16="http://schemas.microsoft.com/office/drawing/2014/main" id="{00000000-0008-0000-0800-000005000000}"/>
            </a:ext>
          </a:extLst>
        </xdr:cNvPr>
        <xdr:cNvSpPr/>
      </xdr:nvSpPr>
      <xdr:spPr>
        <a:xfrm>
          <a:off x="2159000" y="2235200"/>
          <a:ext cx="1511300" cy="3429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a:latin typeface="微軟正黑體" pitchFamily="34" charset="-120"/>
              <a:ea typeface="微軟正黑體" pitchFamily="34" charset="-120"/>
            </a:rPr>
            <a:t>特休計算</a:t>
          </a:r>
        </a:p>
      </xdr:txBody>
    </xdr:sp>
    <xdr:clientData/>
  </xdr:twoCellAnchor>
  <xdr:twoCellAnchor>
    <xdr:from>
      <xdr:col>9</xdr:col>
      <xdr:colOff>0</xdr:colOff>
      <xdr:row>8</xdr:row>
      <xdr:rowOff>0</xdr:rowOff>
    </xdr:from>
    <xdr:to>
      <xdr:col>10</xdr:col>
      <xdr:colOff>0</xdr:colOff>
      <xdr:row>9</xdr:row>
      <xdr:rowOff>0</xdr:rowOff>
    </xdr:to>
    <xdr:sp macro="[0]!切換自動篩選" textlink="">
      <xdr:nvSpPr>
        <xdr:cNvPr id="3" name="矩形 2">
          <a:extLst>
            <a:ext uri="{FF2B5EF4-FFF2-40B4-BE49-F238E27FC236}">
              <a16:creationId xmlns:a16="http://schemas.microsoft.com/office/drawing/2014/main" id="{00000000-0008-0000-0800-000003000000}"/>
            </a:ext>
          </a:extLst>
        </xdr:cNvPr>
        <xdr:cNvSpPr/>
      </xdr:nvSpPr>
      <xdr:spPr>
        <a:xfrm>
          <a:off x="4705350" y="2235200"/>
          <a:ext cx="660400" cy="342900"/>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zh-TW" altLang="en-US" sz="1600">
              <a:latin typeface="微軟正黑體" pitchFamily="34" charset="-120"/>
              <a:ea typeface="微軟正黑體" pitchFamily="34" charset="-120"/>
            </a:rPr>
            <a:t>篩選</a:t>
          </a:r>
        </a:p>
      </xdr:txBody>
    </xdr:sp>
    <xdr:clientData/>
  </xdr:twoCellAnchor>
  <xdr:twoCellAnchor>
    <xdr:from>
      <xdr:col>7</xdr:col>
      <xdr:colOff>0</xdr:colOff>
      <xdr:row>8</xdr:row>
      <xdr:rowOff>0</xdr:rowOff>
    </xdr:from>
    <xdr:to>
      <xdr:col>9</xdr:col>
      <xdr:colOff>0</xdr:colOff>
      <xdr:row>9</xdr:row>
      <xdr:rowOff>6350</xdr:rowOff>
    </xdr:to>
    <xdr:sp macro="[0]!薪資明細_月_另存" textlink="">
      <xdr:nvSpPr>
        <xdr:cNvPr id="4" name="矩形 3">
          <a:extLst>
            <a:ext uri="{FF2B5EF4-FFF2-40B4-BE49-F238E27FC236}">
              <a16:creationId xmlns:a16="http://schemas.microsoft.com/office/drawing/2014/main" id="{00000000-0008-0000-0800-000004000000}"/>
            </a:ext>
          </a:extLst>
        </xdr:cNvPr>
        <xdr:cNvSpPr/>
      </xdr:nvSpPr>
      <xdr:spPr>
        <a:xfrm>
          <a:off x="3670300" y="2235200"/>
          <a:ext cx="1035050" cy="3492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zh-TW" altLang="en-US" sz="1600">
              <a:latin typeface="微軟正黑體" pitchFamily="34" charset="-120"/>
              <a:ea typeface="微軟正黑體" pitchFamily="34" charset="-120"/>
            </a:rPr>
            <a:t>報表備份</a:t>
          </a:r>
        </a:p>
      </xdr:txBody>
    </xdr:sp>
    <xdr:clientData/>
  </xdr:twoCellAnchor>
  <xdr:twoCellAnchor>
    <xdr:from>
      <xdr:col>10</xdr:col>
      <xdr:colOff>6350</xdr:colOff>
      <xdr:row>8</xdr:row>
      <xdr:rowOff>0</xdr:rowOff>
    </xdr:from>
    <xdr:to>
      <xdr:col>11</xdr:col>
      <xdr:colOff>0</xdr:colOff>
      <xdr:row>9</xdr:row>
      <xdr:rowOff>0</xdr:rowOff>
    </xdr:to>
    <xdr:sp macro="[0]!清除" textlink="">
      <xdr:nvSpPr>
        <xdr:cNvPr id="6" name="矩形 5">
          <a:extLst>
            <a:ext uri="{FF2B5EF4-FFF2-40B4-BE49-F238E27FC236}">
              <a16:creationId xmlns:a16="http://schemas.microsoft.com/office/drawing/2014/main" id="{00000000-0008-0000-0800-000006000000}"/>
            </a:ext>
          </a:extLst>
        </xdr:cNvPr>
        <xdr:cNvSpPr/>
      </xdr:nvSpPr>
      <xdr:spPr>
        <a:xfrm>
          <a:off x="5372100" y="2235200"/>
          <a:ext cx="673100" cy="3429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a:latin typeface="微軟正黑體" pitchFamily="34" charset="-120"/>
              <a:ea typeface="微軟正黑體" pitchFamily="34" charset="-120"/>
            </a:rPr>
            <a:t>清除</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isin.com.tw/"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gisin.com.tw/"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B1:X10"/>
  <sheetViews>
    <sheetView showGridLines="0" showRowColHeaders="0" zoomScale="75" zoomScaleNormal="75" workbookViewId="0"/>
  </sheetViews>
  <sheetFormatPr defaultRowHeight="32.15" customHeight="1" x14ac:dyDescent="0.4"/>
  <cols>
    <col min="13" max="13" width="2.90625" customWidth="1"/>
  </cols>
  <sheetData>
    <row r="1" spans="2:24" s="72" customFormat="1" ht="32.15" customHeight="1" x14ac:dyDescent="0.4">
      <c r="B1" s="71" t="s">
        <v>119</v>
      </c>
      <c r="C1" s="378" t="s">
        <v>120</v>
      </c>
      <c r="D1" s="378"/>
      <c r="E1" s="378"/>
      <c r="F1" s="378"/>
      <c r="G1" s="378"/>
      <c r="H1" s="378"/>
      <c r="I1" s="378"/>
      <c r="J1" s="378"/>
      <c r="K1" s="378"/>
      <c r="L1" s="378"/>
    </row>
    <row r="5" spans="2:24" ht="32.15" customHeight="1" x14ac:dyDescent="0.4">
      <c r="N5" s="379" t="s">
        <v>247</v>
      </c>
      <c r="O5" s="380"/>
      <c r="P5" s="380"/>
      <c r="Q5" s="380"/>
      <c r="R5" s="380"/>
      <c r="S5" s="380"/>
    </row>
    <row r="6" spans="2:24" ht="32.15" customHeight="1" x14ac:dyDescent="0.4">
      <c r="T6" s="290" t="s">
        <v>248</v>
      </c>
      <c r="U6" s="290"/>
      <c r="V6" s="290"/>
      <c r="W6" s="290"/>
      <c r="X6" s="290"/>
    </row>
    <row r="7" spans="2:24" ht="32.15" customHeight="1" x14ac:dyDescent="0.4">
      <c r="T7" s="290" t="s">
        <v>249</v>
      </c>
      <c r="U7" s="290"/>
      <c r="V7" s="290"/>
      <c r="W7" s="290"/>
      <c r="X7" s="290"/>
    </row>
    <row r="8" spans="2:24" ht="32.15" customHeight="1" x14ac:dyDescent="0.4">
      <c r="T8" s="290" t="s">
        <v>250</v>
      </c>
      <c r="U8" s="290"/>
      <c r="V8" s="290"/>
      <c r="W8" s="290"/>
      <c r="X8" s="290"/>
    </row>
    <row r="9" spans="2:24" ht="32.15" customHeight="1" x14ac:dyDescent="0.4">
      <c r="T9" s="290" t="s">
        <v>251</v>
      </c>
      <c r="U9" s="290"/>
      <c r="V9" s="290"/>
      <c r="W9" s="290"/>
      <c r="X9" s="290"/>
    </row>
    <row r="10" spans="2:24" ht="32.15" customHeight="1" x14ac:dyDescent="0.4">
      <c r="N10" s="381" t="s">
        <v>252</v>
      </c>
      <c r="O10" s="381"/>
      <c r="P10" s="381"/>
      <c r="Q10" s="381"/>
      <c r="R10" s="381"/>
      <c r="S10" s="381"/>
    </row>
  </sheetData>
  <sheetProtection algorithmName="SHA-512" hashValue="j3UjuMwqN2HJYQ/S3s7mCz0PdBRfuGOrEzq1uPuPj57VM8KzxycvVXwO00Lcw+VHg/a2hnp3qJBBdUca6Uy4MQ==" saltValue="xbnu53pqy6cViT+2zJ5vhA==" spinCount="100000" sheet="1" objects="1" scenarios="1" formatCells="0" formatColumns="0" formatRows="0" autoFilter="0"/>
  <mergeCells count="3">
    <mergeCell ref="C1:L1"/>
    <mergeCell ref="N5:S5"/>
    <mergeCell ref="N10:S10"/>
  </mergeCells>
  <phoneticPr fontId="1" type="noConversion"/>
  <hyperlinks>
    <hyperlink ref="C1" r:id="rId1"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C3:AC66"/>
  <sheetViews>
    <sheetView showGridLines="0" showZeros="0" topLeftCell="B43" workbookViewId="0">
      <selection activeCell="C3" sqref="C3:AC66"/>
    </sheetView>
  </sheetViews>
  <sheetFormatPr defaultRowHeight="17" x14ac:dyDescent="0.4"/>
  <cols>
    <col min="3" max="3" width="12.90625" customWidth="1"/>
    <col min="4" max="4" width="8.90625" customWidth="1"/>
    <col min="5" max="5" width="6.08984375" customWidth="1"/>
    <col min="6" max="6" width="8.6328125" customWidth="1"/>
    <col min="7" max="7" width="9.453125" customWidth="1"/>
    <col min="8" max="8" width="16.90625" customWidth="1"/>
    <col min="9" max="9" width="9.6328125" customWidth="1"/>
    <col min="10" max="10" width="14.08984375" customWidth="1"/>
    <col min="11" max="11" width="12.453125" customWidth="1"/>
    <col min="12" max="13" width="10.36328125" customWidth="1"/>
    <col min="14" max="15" width="8.6328125" customWidth="1"/>
    <col min="16" max="24" width="10.08984375" customWidth="1"/>
    <col min="25" max="25" width="9.90625" customWidth="1"/>
    <col min="26" max="26" width="11.90625" customWidth="1"/>
    <col min="27" max="27" width="11.6328125" customWidth="1"/>
    <col min="28" max="28" width="13.1796875" customWidth="1"/>
    <col min="29" max="29" width="15.54296875" customWidth="1"/>
  </cols>
  <sheetData>
    <row r="3" spans="3:29" ht="23" x14ac:dyDescent="0.4">
      <c r="C3" s="689" t="s">
        <v>1296</v>
      </c>
      <c r="D3" s="690"/>
      <c r="E3" s="690"/>
      <c r="F3" s="690"/>
      <c r="G3" s="691"/>
      <c r="H3" s="341" t="s">
        <v>66</v>
      </c>
      <c r="I3" s="262" t="s">
        <v>1297</v>
      </c>
      <c r="J3" s="263" t="s">
        <v>1298</v>
      </c>
      <c r="K3" s="264" t="s">
        <v>1299</v>
      </c>
      <c r="L3" s="683" t="s">
        <v>1300</v>
      </c>
      <c r="M3" s="684"/>
      <c r="N3" s="679" t="s">
        <v>1301</v>
      </c>
      <c r="O3" s="680"/>
      <c r="P3" s="59"/>
      <c r="Q3" s="1"/>
      <c r="R3" s="1"/>
      <c r="S3" s="1"/>
      <c r="T3" s="1"/>
      <c r="U3" s="1"/>
      <c r="V3" s="1"/>
      <c r="W3" s="1"/>
      <c r="X3" s="695" t="s">
        <v>1302</v>
      </c>
      <c r="Y3" s="694" t="s">
        <v>1303</v>
      </c>
      <c r="Z3" s="694"/>
      <c r="AA3" s="694"/>
      <c r="AB3" s="694"/>
      <c r="AC3" s="1"/>
    </row>
    <row r="4" spans="3:29" ht="17.5" thickBot="1" x14ac:dyDescent="0.45">
      <c r="C4" s="342"/>
      <c r="D4" s="342"/>
      <c r="E4" s="342"/>
      <c r="F4" s="342"/>
      <c r="G4" s="342"/>
      <c r="H4" s="340"/>
      <c r="I4" s="252">
        <v>108</v>
      </c>
      <c r="J4" s="265">
        <v>12</v>
      </c>
      <c r="K4" s="266">
        <v>31</v>
      </c>
      <c r="L4" s="692" t="s">
        <v>1304</v>
      </c>
      <c r="M4" s="693"/>
      <c r="N4" s="681" t="s">
        <v>1305</v>
      </c>
      <c r="O4" s="682" t="s">
        <v>1306</v>
      </c>
      <c r="P4" s="698" t="s">
        <v>1307</v>
      </c>
      <c r="Q4" s="699"/>
      <c r="R4" s="699"/>
      <c r="S4" s="700"/>
      <c r="T4" s="697" t="s">
        <v>1308</v>
      </c>
      <c r="U4" s="692"/>
      <c r="V4" s="692"/>
      <c r="W4" s="693"/>
      <c r="X4" s="696"/>
      <c r="Y4" s="694"/>
      <c r="Z4" s="694"/>
      <c r="AA4" s="694"/>
      <c r="AB4" s="694"/>
      <c r="AC4" s="1"/>
    </row>
    <row r="5" spans="3:29" ht="47" thickTop="1" x14ac:dyDescent="0.4">
      <c r="C5" s="100" t="s">
        <v>73</v>
      </c>
      <c r="D5" s="100" t="s">
        <v>74</v>
      </c>
      <c r="E5" s="101" t="s">
        <v>78</v>
      </c>
      <c r="F5" s="100" t="s">
        <v>1309</v>
      </c>
      <c r="G5" s="100" t="s">
        <v>75</v>
      </c>
      <c r="H5" s="100" t="s">
        <v>76</v>
      </c>
      <c r="I5" s="250" t="s">
        <v>1310</v>
      </c>
      <c r="J5" s="250" t="s">
        <v>1311</v>
      </c>
      <c r="K5" s="251" t="s">
        <v>1312</v>
      </c>
      <c r="L5" s="248" t="s">
        <v>1313</v>
      </c>
      <c r="M5" s="19" t="s">
        <v>1</v>
      </c>
      <c r="N5" s="681"/>
      <c r="O5" s="682"/>
      <c r="P5" s="254" t="s">
        <v>1314</v>
      </c>
      <c r="Q5" s="254" t="s">
        <v>1315</v>
      </c>
      <c r="R5" s="254" t="s">
        <v>1316</v>
      </c>
      <c r="S5" s="255" t="s">
        <v>1317</v>
      </c>
      <c r="T5" s="256" t="s">
        <v>1314</v>
      </c>
      <c r="U5" s="256" t="s">
        <v>1315</v>
      </c>
      <c r="V5" s="256" t="s">
        <v>1316</v>
      </c>
      <c r="W5" s="256" t="s">
        <v>1317</v>
      </c>
      <c r="X5" s="257" t="s">
        <v>1318</v>
      </c>
      <c r="Y5" s="258" t="s">
        <v>1293</v>
      </c>
      <c r="Z5" s="343" t="s">
        <v>142</v>
      </c>
      <c r="AA5" s="348" t="s">
        <v>1294</v>
      </c>
      <c r="AB5" s="348" t="s">
        <v>1295</v>
      </c>
      <c r="AC5" s="1"/>
    </row>
    <row r="6" spans="3:29" x14ac:dyDescent="0.4">
      <c r="C6" s="34" t="s">
        <v>1187</v>
      </c>
      <c r="D6" s="34" t="s">
        <v>1185</v>
      </c>
      <c r="E6" s="34"/>
      <c r="F6" s="34"/>
      <c r="G6" s="34"/>
      <c r="H6" s="339" t="s">
        <v>1263</v>
      </c>
      <c r="I6" s="35"/>
      <c r="J6" s="37">
        <v>41030</v>
      </c>
      <c r="K6" s="231">
        <v>41030</v>
      </c>
      <c r="L6" s="33">
        <v>7</v>
      </c>
      <c r="M6" s="28">
        <v>15</v>
      </c>
      <c r="N6" s="249">
        <v>0.66666666666666674</v>
      </c>
      <c r="O6" s="249">
        <v>0.33333333333333326</v>
      </c>
      <c r="P6" s="232">
        <v>0</v>
      </c>
      <c r="Q6" s="232">
        <v>5</v>
      </c>
      <c r="R6" s="232">
        <v>10</v>
      </c>
      <c r="S6" s="232">
        <v>15</v>
      </c>
      <c r="T6" s="233">
        <v>0</v>
      </c>
      <c r="U6" s="233">
        <v>5</v>
      </c>
      <c r="V6" s="234">
        <v>10</v>
      </c>
      <c r="W6" s="234">
        <v>15</v>
      </c>
      <c r="X6" s="253">
        <v>0</v>
      </c>
      <c r="Y6" s="260">
        <v>0</v>
      </c>
      <c r="Z6" s="261">
        <v>0</v>
      </c>
      <c r="AA6" s="261">
        <v>3</v>
      </c>
      <c r="AB6" s="346">
        <v>0</v>
      </c>
      <c r="AC6" s="21"/>
    </row>
    <row r="7" spans="3:29" x14ac:dyDescent="0.4">
      <c r="C7" s="22" t="s">
        <v>1188</v>
      </c>
      <c r="D7" s="22" t="s">
        <v>1186</v>
      </c>
      <c r="E7" s="22"/>
      <c r="F7" s="22"/>
      <c r="G7" s="22"/>
      <c r="H7" s="24" t="s">
        <v>1264</v>
      </c>
      <c r="I7" s="23"/>
      <c r="J7" s="37">
        <v>41030</v>
      </c>
      <c r="K7" s="235">
        <v>41030</v>
      </c>
      <c r="L7" s="24">
        <v>7</v>
      </c>
      <c r="M7" s="24">
        <v>15</v>
      </c>
      <c r="N7" s="236">
        <v>0.66666666666666674</v>
      </c>
      <c r="O7" s="236">
        <v>0.33333333333333326</v>
      </c>
      <c r="P7" s="237">
        <v>0</v>
      </c>
      <c r="Q7" s="237">
        <v>5</v>
      </c>
      <c r="R7" s="237">
        <v>10</v>
      </c>
      <c r="S7" s="237">
        <v>15</v>
      </c>
      <c r="T7" s="238">
        <v>0</v>
      </c>
      <c r="U7" s="238">
        <v>5</v>
      </c>
      <c r="V7" s="239">
        <v>10</v>
      </c>
      <c r="W7" s="239">
        <v>15</v>
      </c>
      <c r="X7" s="237">
        <v>0</v>
      </c>
      <c r="Y7" s="240">
        <v>0</v>
      </c>
      <c r="Z7" s="225">
        <v>0</v>
      </c>
      <c r="AA7" s="225">
        <v>3</v>
      </c>
      <c r="AB7" s="344">
        <v>0</v>
      </c>
      <c r="AC7" s="21"/>
    </row>
    <row r="8" spans="3:29" x14ac:dyDescent="0.4">
      <c r="C8" s="34" t="s">
        <v>1189</v>
      </c>
      <c r="D8" s="34" t="s">
        <v>1190</v>
      </c>
      <c r="E8" s="34"/>
      <c r="F8" s="34"/>
      <c r="G8" s="34"/>
      <c r="H8" s="339" t="s">
        <v>1265</v>
      </c>
      <c r="I8" s="35"/>
      <c r="J8" s="37">
        <v>41030</v>
      </c>
      <c r="K8" s="231">
        <v>41030</v>
      </c>
      <c r="L8" s="33">
        <v>7</v>
      </c>
      <c r="M8" s="28">
        <v>15</v>
      </c>
      <c r="N8" s="249">
        <v>0.66666666666666674</v>
      </c>
      <c r="O8" s="249">
        <v>0.33333333333333326</v>
      </c>
      <c r="P8" s="232">
        <v>0</v>
      </c>
      <c r="Q8" s="232">
        <v>5</v>
      </c>
      <c r="R8" s="232">
        <v>10</v>
      </c>
      <c r="S8" s="232">
        <v>15</v>
      </c>
      <c r="T8" s="233">
        <v>0</v>
      </c>
      <c r="U8" s="233">
        <v>5</v>
      </c>
      <c r="V8" s="234">
        <v>10</v>
      </c>
      <c r="W8" s="234">
        <v>15</v>
      </c>
      <c r="X8" s="253"/>
      <c r="Y8" s="260">
        <v>0</v>
      </c>
      <c r="Z8" s="261">
        <v>0</v>
      </c>
      <c r="AA8" s="261">
        <v>3</v>
      </c>
      <c r="AB8" s="346">
        <v>0</v>
      </c>
      <c r="AC8" s="21"/>
    </row>
    <row r="9" spans="3:29" x14ac:dyDescent="0.4">
      <c r="C9" s="22" t="s">
        <v>1191</v>
      </c>
      <c r="D9" s="22" t="s">
        <v>1192</v>
      </c>
      <c r="E9" s="22"/>
      <c r="F9" s="22"/>
      <c r="G9" s="22"/>
      <c r="H9" s="24" t="s">
        <v>1265</v>
      </c>
      <c r="I9" s="23"/>
      <c r="J9" s="37">
        <v>41030</v>
      </c>
      <c r="K9" s="235">
        <v>41030</v>
      </c>
      <c r="L9" s="24">
        <v>7</v>
      </c>
      <c r="M9" s="24">
        <v>15</v>
      </c>
      <c r="N9" s="236">
        <v>0.66666666666666674</v>
      </c>
      <c r="O9" s="236">
        <v>0.33333333333333326</v>
      </c>
      <c r="P9" s="237">
        <v>0</v>
      </c>
      <c r="Q9" s="237">
        <v>5</v>
      </c>
      <c r="R9" s="237">
        <v>10</v>
      </c>
      <c r="S9" s="237">
        <v>15</v>
      </c>
      <c r="T9" s="238">
        <v>0</v>
      </c>
      <c r="U9" s="238">
        <v>5</v>
      </c>
      <c r="V9" s="239">
        <v>10</v>
      </c>
      <c r="W9" s="239">
        <v>15</v>
      </c>
      <c r="X9" s="237"/>
      <c r="Y9" s="240">
        <v>0</v>
      </c>
      <c r="Z9" s="225">
        <v>0</v>
      </c>
      <c r="AA9" s="225">
        <v>3</v>
      </c>
      <c r="AB9" s="344">
        <v>0</v>
      </c>
      <c r="AC9" s="21"/>
    </row>
    <row r="10" spans="3:29" x14ac:dyDescent="0.4">
      <c r="C10" s="34" t="s">
        <v>1193</v>
      </c>
      <c r="D10" s="34" t="s">
        <v>1172</v>
      </c>
      <c r="E10" s="34"/>
      <c r="F10" s="34"/>
      <c r="G10" s="34"/>
      <c r="H10" s="339" t="s">
        <v>1266</v>
      </c>
      <c r="I10" s="35"/>
      <c r="J10" s="37">
        <v>41090</v>
      </c>
      <c r="K10" s="231">
        <v>41090</v>
      </c>
      <c r="L10" s="33">
        <v>7</v>
      </c>
      <c r="M10" s="28">
        <v>15</v>
      </c>
      <c r="N10" s="249">
        <v>0.50277777777777777</v>
      </c>
      <c r="O10" s="249">
        <v>0.49722222222222223</v>
      </c>
      <c r="P10" s="232">
        <v>0</v>
      </c>
      <c r="Q10" s="232">
        <v>7</v>
      </c>
      <c r="R10" s="232">
        <v>8</v>
      </c>
      <c r="S10" s="232">
        <v>15</v>
      </c>
      <c r="T10" s="233">
        <v>0</v>
      </c>
      <c r="U10" s="233">
        <v>7.46</v>
      </c>
      <c r="V10" s="234">
        <v>7.54</v>
      </c>
      <c r="W10" s="234">
        <v>15</v>
      </c>
      <c r="X10" s="253"/>
      <c r="Y10" s="260">
        <v>0</v>
      </c>
      <c r="Z10" s="261">
        <v>0</v>
      </c>
      <c r="AA10" s="261">
        <v>3</v>
      </c>
      <c r="AB10" s="346">
        <v>0</v>
      </c>
      <c r="AC10" s="21"/>
    </row>
    <row r="11" spans="3:29" x14ac:dyDescent="0.4">
      <c r="C11" s="22" t="s">
        <v>1194</v>
      </c>
      <c r="D11" s="22" t="s">
        <v>1163</v>
      </c>
      <c r="E11" s="22"/>
      <c r="F11" s="22"/>
      <c r="G11" s="22"/>
      <c r="H11" s="24" t="s">
        <v>1267</v>
      </c>
      <c r="I11" s="23"/>
      <c r="J11" s="37">
        <v>41244</v>
      </c>
      <c r="K11" s="235">
        <v>41244</v>
      </c>
      <c r="L11" s="24">
        <v>7</v>
      </c>
      <c r="M11" s="24">
        <v>15</v>
      </c>
      <c r="N11" s="236">
        <v>8.333333333333337E-2</v>
      </c>
      <c r="O11" s="236">
        <v>0.91666666666666663</v>
      </c>
      <c r="P11" s="237">
        <v>0</v>
      </c>
      <c r="Q11" s="237">
        <v>14</v>
      </c>
      <c r="R11" s="237">
        <v>1</v>
      </c>
      <c r="S11" s="237">
        <v>15</v>
      </c>
      <c r="T11" s="238">
        <v>0</v>
      </c>
      <c r="U11" s="238">
        <v>13.75</v>
      </c>
      <c r="V11" s="239">
        <v>1.25</v>
      </c>
      <c r="W11" s="239">
        <v>15</v>
      </c>
      <c r="X11" s="237"/>
      <c r="Y11" s="240">
        <v>0</v>
      </c>
      <c r="Z11" s="225">
        <v>0</v>
      </c>
      <c r="AA11" s="225">
        <v>3</v>
      </c>
      <c r="AB11" s="344">
        <v>0</v>
      </c>
      <c r="AC11" s="21"/>
    </row>
    <row r="12" spans="3:29" x14ac:dyDescent="0.4">
      <c r="C12" s="34" t="s">
        <v>1195</v>
      </c>
      <c r="D12" s="34" t="s">
        <v>1177</v>
      </c>
      <c r="E12" s="34"/>
      <c r="F12" s="34"/>
      <c r="G12" s="34"/>
      <c r="H12" s="339" t="s">
        <v>1266</v>
      </c>
      <c r="I12" s="35"/>
      <c r="J12" s="37">
        <v>41267</v>
      </c>
      <c r="K12" s="231">
        <v>41267</v>
      </c>
      <c r="L12" s="33">
        <v>7</v>
      </c>
      <c r="M12" s="28">
        <v>15</v>
      </c>
      <c r="N12" s="249">
        <v>2.1505376344086002E-2</v>
      </c>
      <c r="O12" s="249">
        <v>0.978494623655914</v>
      </c>
      <c r="P12" s="232">
        <v>0</v>
      </c>
      <c r="Q12" s="232">
        <v>15</v>
      </c>
      <c r="R12" s="232">
        <v>0</v>
      </c>
      <c r="S12" s="232">
        <v>15</v>
      </c>
      <c r="T12" s="233">
        <v>0</v>
      </c>
      <c r="U12" s="233">
        <v>14.68</v>
      </c>
      <c r="V12" s="234">
        <v>0.32000000000000028</v>
      </c>
      <c r="W12" s="234">
        <v>15</v>
      </c>
      <c r="X12" s="253"/>
      <c r="Y12" s="260">
        <v>0</v>
      </c>
      <c r="Z12" s="261">
        <v>0</v>
      </c>
      <c r="AA12" s="261">
        <v>3</v>
      </c>
      <c r="AB12" s="346">
        <v>0</v>
      </c>
      <c r="AC12" s="21"/>
    </row>
    <row r="13" spans="3:29" x14ac:dyDescent="0.4">
      <c r="C13" s="22" t="s">
        <v>1196</v>
      </c>
      <c r="D13" s="22" t="s">
        <v>1167</v>
      </c>
      <c r="E13" s="22"/>
      <c r="F13" s="22"/>
      <c r="G13" s="22"/>
      <c r="H13" s="24" t="s">
        <v>1268</v>
      </c>
      <c r="I13" s="23"/>
      <c r="J13" s="37">
        <v>41260</v>
      </c>
      <c r="K13" s="235">
        <v>41260</v>
      </c>
      <c r="L13" s="24">
        <v>7</v>
      </c>
      <c r="M13" s="24">
        <v>15</v>
      </c>
      <c r="N13" s="236">
        <v>4.0322580645161366E-2</v>
      </c>
      <c r="O13" s="236">
        <v>0.95967741935483863</v>
      </c>
      <c r="P13" s="237">
        <v>0</v>
      </c>
      <c r="Q13" s="237">
        <v>14</v>
      </c>
      <c r="R13" s="237">
        <v>1</v>
      </c>
      <c r="S13" s="237">
        <v>15</v>
      </c>
      <c r="T13" s="238">
        <v>0</v>
      </c>
      <c r="U13" s="238">
        <v>14.4</v>
      </c>
      <c r="V13" s="239">
        <v>0.59999999999999964</v>
      </c>
      <c r="W13" s="239">
        <v>15</v>
      </c>
      <c r="X13" s="237"/>
      <c r="Y13" s="240">
        <v>0</v>
      </c>
      <c r="Z13" s="225">
        <v>0</v>
      </c>
      <c r="AA13" s="225">
        <v>3</v>
      </c>
      <c r="AB13" s="344">
        <v>0</v>
      </c>
      <c r="AC13" s="21"/>
    </row>
    <row r="14" spans="3:29" x14ac:dyDescent="0.4">
      <c r="C14" s="34" t="s">
        <v>1197</v>
      </c>
      <c r="D14" s="34" t="s">
        <v>1198</v>
      </c>
      <c r="E14" s="34"/>
      <c r="F14" s="34"/>
      <c r="G14" s="34"/>
      <c r="H14" s="339" t="s">
        <v>1269</v>
      </c>
      <c r="I14" s="35"/>
      <c r="J14" s="37">
        <v>41284</v>
      </c>
      <c r="K14" s="231">
        <v>41284</v>
      </c>
      <c r="L14" s="33">
        <v>6</v>
      </c>
      <c r="M14" s="28">
        <v>15</v>
      </c>
      <c r="N14" s="249">
        <v>0.97580645161290325</v>
      </c>
      <c r="O14" s="249">
        <v>2.4193548387096753E-2</v>
      </c>
      <c r="P14" s="232">
        <v>0</v>
      </c>
      <c r="Q14" s="232">
        <v>0</v>
      </c>
      <c r="R14" s="232">
        <v>15</v>
      </c>
      <c r="S14" s="232">
        <v>15</v>
      </c>
      <c r="T14" s="233">
        <v>0</v>
      </c>
      <c r="U14" s="233">
        <v>0.36</v>
      </c>
      <c r="V14" s="234">
        <v>14.64</v>
      </c>
      <c r="W14" s="234">
        <v>15</v>
      </c>
      <c r="X14" s="253"/>
      <c r="Y14" s="260">
        <v>0</v>
      </c>
      <c r="Z14" s="261">
        <v>0</v>
      </c>
      <c r="AA14" s="261">
        <v>3</v>
      </c>
      <c r="AB14" s="346">
        <v>0</v>
      </c>
      <c r="AC14" s="21"/>
    </row>
    <row r="15" spans="3:29" x14ac:dyDescent="0.4">
      <c r="C15" s="22" t="s">
        <v>1199</v>
      </c>
      <c r="D15" s="22" t="s">
        <v>1174</v>
      </c>
      <c r="E15" s="22"/>
      <c r="F15" s="22"/>
      <c r="G15" s="22"/>
      <c r="H15" s="24" t="s">
        <v>1270</v>
      </c>
      <c r="I15" s="23"/>
      <c r="J15" s="37">
        <v>41279</v>
      </c>
      <c r="K15" s="235">
        <v>41279</v>
      </c>
      <c r="L15" s="24">
        <v>6</v>
      </c>
      <c r="M15" s="24">
        <v>15</v>
      </c>
      <c r="N15" s="236">
        <v>0.989247311827957</v>
      </c>
      <c r="O15" s="236">
        <v>1.0752688172043001E-2</v>
      </c>
      <c r="P15" s="237">
        <v>0</v>
      </c>
      <c r="Q15" s="237">
        <v>0</v>
      </c>
      <c r="R15" s="237">
        <v>15</v>
      </c>
      <c r="S15" s="237">
        <v>15</v>
      </c>
      <c r="T15" s="238">
        <v>0</v>
      </c>
      <c r="U15" s="238">
        <v>0.16</v>
      </c>
      <c r="V15" s="239">
        <v>14.84</v>
      </c>
      <c r="W15" s="239">
        <v>15</v>
      </c>
      <c r="X15" s="237"/>
      <c r="Y15" s="240">
        <v>0</v>
      </c>
      <c r="Z15" s="225">
        <v>0</v>
      </c>
      <c r="AA15" s="225">
        <v>3</v>
      </c>
      <c r="AB15" s="344">
        <v>0</v>
      </c>
      <c r="AC15" s="21"/>
    </row>
    <row r="16" spans="3:29" x14ac:dyDescent="0.4">
      <c r="C16" s="34" t="s">
        <v>1200</v>
      </c>
      <c r="D16" s="34" t="s">
        <v>1178</v>
      </c>
      <c r="E16" s="34"/>
      <c r="F16" s="34"/>
      <c r="G16" s="34"/>
      <c r="H16" s="339" t="s">
        <v>1271</v>
      </c>
      <c r="I16" s="35"/>
      <c r="J16" s="37">
        <v>41323</v>
      </c>
      <c r="K16" s="231">
        <v>41323</v>
      </c>
      <c r="L16" s="33">
        <v>6</v>
      </c>
      <c r="M16" s="28">
        <v>15</v>
      </c>
      <c r="N16" s="249">
        <v>0.8660714285714286</v>
      </c>
      <c r="O16" s="249">
        <v>0.1339285714285714</v>
      </c>
      <c r="P16" s="232">
        <v>0</v>
      </c>
      <c r="Q16" s="232">
        <v>2</v>
      </c>
      <c r="R16" s="232">
        <v>13</v>
      </c>
      <c r="S16" s="232">
        <v>15</v>
      </c>
      <c r="T16" s="233">
        <v>0</v>
      </c>
      <c r="U16" s="233">
        <v>2.0099999999999998</v>
      </c>
      <c r="V16" s="234">
        <v>12.99</v>
      </c>
      <c r="W16" s="234">
        <v>15</v>
      </c>
      <c r="X16" s="253"/>
      <c r="Y16" s="260">
        <v>0</v>
      </c>
      <c r="Z16" s="261">
        <v>0</v>
      </c>
      <c r="AA16" s="261">
        <v>3</v>
      </c>
      <c r="AB16" s="346">
        <v>0</v>
      </c>
      <c r="AC16" s="21"/>
    </row>
    <row r="17" spans="3:29" x14ac:dyDescent="0.4">
      <c r="C17" s="22" t="s">
        <v>1201</v>
      </c>
      <c r="D17" s="22" t="s">
        <v>1151</v>
      </c>
      <c r="E17" s="22"/>
      <c r="F17" s="22"/>
      <c r="G17" s="22"/>
      <c r="H17" s="24" t="s">
        <v>1267</v>
      </c>
      <c r="I17" s="23"/>
      <c r="J17" s="37">
        <v>41426</v>
      </c>
      <c r="K17" s="235">
        <v>41426</v>
      </c>
      <c r="L17" s="24">
        <v>6</v>
      </c>
      <c r="M17" s="24">
        <v>15</v>
      </c>
      <c r="N17" s="236">
        <v>0.58333333333333326</v>
      </c>
      <c r="O17" s="236">
        <v>0.41666666666666674</v>
      </c>
      <c r="P17" s="237">
        <v>0</v>
      </c>
      <c r="Q17" s="237">
        <v>6</v>
      </c>
      <c r="R17" s="237">
        <v>9</v>
      </c>
      <c r="S17" s="237">
        <v>15</v>
      </c>
      <c r="T17" s="238">
        <v>0</v>
      </c>
      <c r="U17" s="238">
        <v>6.25</v>
      </c>
      <c r="V17" s="239">
        <v>8.75</v>
      </c>
      <c r="W17" s="239">
        <v>15</v>
      </c>
      <c r="X17" s="237"/>
      <c r="Y17" s="240">
        <v>0</v>
      </c>
      <c r="Z17" s="225">
        <v>0</v>
      </c>
      <c r="AA17" s="225">
        <v>3</v>
      </c>
      <c r="AB17" s="344">
        <v>0</v>
      </c>
      <c r="AC17" s="21"/>
    </row>
    <row r="18" spans="3:29" x14ac:dyDescent="0.4">
      <c r="C18" s="34" t="s">
        <v>1202</v>
      </c>
      <c r="D18" s="34" t="s">
        <v>1183</v>
      </c>
      <c r="E18" s="34"/>
      <c r="F18" s="34"/>
      <c r="G18" s="34"/>
      <c r="H18" s="339" t="s">
        <v>1272</v>
      </c>
      <c r="I18" s="35"/>
      <c r="J18" s="37">
        <v>41864</v>
      </c>
      <c r="K18" s="231">
        <v>41864</v>
      </c>
      <c r="L18" s="33">
        <v>5</v>
      </c>
      <c r="M18" s="28">
        <v>15</v>
      </c>
      <c r="N18" s="249">
        <v>0.38440860215053763</v>
      </c>
      <c r="O18" s="249">
        <v>0.61559139784946237</v>
      </c>
      <c r="P18" s="232">
        <v>0</v>
      </c>
      <c r="Q18" s="232">
        <v>9</v>
      </c>
      <c r="R18" s="232">
        <v>6</v>
      </c>
      <c r="S18" s="232">
        <v>15</v>
      </c>
      <c r="T18" s="233">
        <v>0</v>
      </c>
      <c r="U18" s="233">
        <v>8.6199999999999992</v>
      </c>
      <c r="V18" s="234">
        <v>5.77</v>
      </c>
      <c r="W18" s="234">
        <v>14.389999999999999</v>
      </c>
      <c r="X18" s="253"/>
      <c r="Y18" s="260">
        <v>0</v>
      </c>
      <c r="Z18" s="261">
        <v>0</v>
      </c>
      <c r="AA18" s="261">
        <v>3</v>
      </c>
      <c r="AB18" s="346">
        <v>0</v>
      </c>
      <c r="AC18" s="21"/>
    </row>
    <row r="19" spans="3:29" x14ac:dyDescent="0.4">
      <c r="C19" s="22" t="s">
        <v>1203</v>
      </c>
      <c r="D19" s="22" t="s">
        <v>1164</v>
      </c>
      <c r="E19" s="22"/>
      <c r="F19" s="22"/>
      <c r="G19" s="22"/>
      <c r="H19" s="24" t="s">
        <v>1268</v>
      </c>
      <c r="I19" s="23"/>
      <c r="J19" s="37">
        <v>41869</v>
      </c>
      <c r="K19" s="235">
        <v>41869</v>
      </c>
      <c r="L19" s="24">
        <v>5</v>
      </c>
      <c r="M19" s="24">
        <v>15</v>
      </c>
      <c r="N19" s="236">
        <v>0.37096774193548387</v>
      </c>
      <c r="O19" s="236">
        <v>0.62903225806451613</v>
      </c>
      <c r="P19" s="237">
        <v>0</v>
      </c>
      <c r="Q19" s="237">
        <v>9</v>
      </c>
      <c r="R19" s="237">
        <v>6</v>
      </c>
      <c r="S19" s="237">
        <v>15</v>
      </c>
      <c r="T19" s="238">
        <v>0</v>
      </c>
      <c r="U19" s="238">
        <v>8.81</v>
      </c>
      <c r="V19" s="239">
        <v>5.5600000000000005</v>
      </c>
      <c r="W19" s="239">
        <v>14.370000000000001</v>
      </c>
      <c r="X19" s="237"/>
      <c r="Y19" s="240">
        <v>0</v>
      </c>
      <c r="Z19" s="225">
        <v>0</v>
      </c>
      <c r="AA19" s="225">
        <v>3</v>
      </c>
      <c r="AB19" s="344">
        <v>0</v>
      </c>
      <c r="AC19" s="21"/>
    </row>
    <row r="20" spans="3:29" x14ac:dyDescent="0.4">
      <c r="C20" s="34" t="s">
        <v>1204</v>
      </c>
      <c r="D20" s="34" t="s">
        <v>1156</v>
      </c>
      <c r="E20" s="34"/>
      <c r="F20" s="34"/>
      <c r="G20" s="34"/>
      <c r="H20" s="339" t="s">
        <v>1268</v>
      </c>
      <c r="I20" s="35"/>
      <c r="J20" s="37">
        <v>42128</v>
      </c>
      <c r="K20" s="231">
        <v>42128</v>
      </c>
      <c r="L20" s="33">
        <v>4</v>
      </c>
      <c r="M20" s="28">
        <v>14</v>
      </c>
      <c r="N20" s="249">
        <v>0.65860215053763449</v>
      </c>
      <c r="O20" s="249">
        <v>0.34139784946236551</v>
      </c>
      <c r="P20" s="232">
        <v>0</v>
      </c>
      <c r="Q20" s="232">
        <v>5</v>
      </c>
      <c r="R20" s="232">
        <v>9</v>
      </c>
      <c r="S20" s="232">
        <v>14</v>
      </c>
      <c r="T20" s="233">
        <v>0</v>
      </c>
      <c r="U20" s="233">
        <v>4.78</v>
      </c>
      <c r="V20" s="234">
        <v>9.2199999999999989</v>
      </c>
      <c r="W20" s="234">
        <v>14</v>
      </c>
      <c r="X20" s="253"/>
      <c r="Y20" s="260">
        <v>0</v>
      </c>
      <c r="Z20" s="261">
        <v>0</v>
      </c>
      <c r="AA20" s="261">
        <v>3</v>
      </c>
      <c r="AB20" s="346">
        <v>0</v>
      </c>
      <c r="AC20" s="21"/>
    </row>
    <row r="21" spans="3:29" x14ac:dyDescent="0.4">
      <c r="C21" s="22" t="s">
        <v>1205</v>
      </c>
      <c r="D21" s="22" t="s">
        <v>1152</v>
      </c>
      <c r="E21" s="22"/>
      <c r="F21" s="22"/>
      <c r="G21" s="22"/>
      <c r="H21" s="24" t="s">
        <v>1273</v>
      </c>
      <c r="I21" s="23"/>
      <c r="J21" s="37">
        <v>42217</v>
      </c>
      <c r="K21" s="235">
        <v>42217</v>
      </c>
      <c r="L21" s="24">
        <v>4</v>
      </c>
      <c r="M21" s="24">
        <v>14</v>
      </c>
      <c r="N21" s="236">
        <v>0.41666666666666663</v>
      </c>
      <c r="O21" s="236">
        <v>0.58333333333333337</v>
      </c>
      <c r="P21" s="237">
        <v>0</v>
      </c>
      <c r="Q21" s="237">
        <v>8</v>
      </c>
      <c r="R21" s="237">
        <v>6</v>
      </c>
      <c r="S21" s="237">
        <v>14</v>
      </c>
      <c r="T21" s="238">
        <v>0</v>
      </c>
      <c r="U21" s="238">
        <v>8.17</v>
      </c>
      <c r="V21" s="239">
        <v>5.83</v>
      </c>
      <c r="W21" s="239">
        <v>14</v>
      </c>
      <c r="X21" s="237"/>
      <c r="Y21" s="240">
        <v>0</v>
      </c>
      <c r="Z21" s="225">
        <v>0</v>
      </c>
      <c r="AA21" s="225">
        <v>3</v>
      </c>
      <c r="AB21" s="344">
        <v>0</v>
      </c>
      <c r="AC21" s="21"/>
    </row>
    <row r="22" spans="3:29" x14ac:dyDescent="0.4">
      <c r="C22" s="34" t="s">
        <v>1206</v>
      </c>
      <c r="D22" s="34" t="s">
        <v>1179</v>
      </c>
      <c r="E22" s="34"/>
      <c r="F22" s="34"/>
      <c r="G22" s="34"/>
      <c r="H22" s="339" t="s">
        <v>1274</v>
      </c>
      <c r="I22" s="35"/>
      <c r="J22" s="37">
        <v>42555</v>
      </c>
      <c r="K22" s="231">
        <v>42555</v>
      </c>
      <c r="L22" s="33">
        <v>3</v>
      </c>
      <c r="M22" s="28">
        <v>14</v>
      </c>
      <c r="N22" s="249">
        <v>0.49193548387096775</v>
      </c>
      <c r="O22" s="249">
        <v>0.50806451612903225</v>
      </c>
      <c r="P22" s="232">
        <v>0</v>
      </c>
      <c r="Q22" s="232">
        <v>5</v>
      </c>
      <c r="R22" s="232">
        <v>7</v>
      </c>
      <c r="S22" s="232">
        <v>12</v>
      </c>
      <c r="T22" s="233">
        <v>0</v>
      </c>
      <c r="U22" s="233">
        <v>5.08</v>
      </c>
      <c r="V22" s="234">
        <v>6.89</v>
      </c>
      <c r="W22" s="234">
        <v>11.969999999999999</v>
      </c>
      <c r="X22" s="253"/>
      <c r="Y22" s="260">
        <v>0</v>
      </c>
      <c r="Z22" s="261">
        <v>0</v>
      </c>
      <c r="AA22" s="261">
        <v>3</v>
      </c>
      <c r="AB22" s="346">
        <v>0</v>
      </c>
      <c r="AC22" s="21"/>
    </row>
    <row r="23" spans="3:29" x14ac:dyDescent="0.4">
      <c r="C23" s="22" t="s">
        <v>1207</v>
      </c>
      <c r="D23" s="22" t="s">
        <v>1184</v>
      </c>
      <c r="E23" s="22"/>
      <c r="F23" s="22"/>
      <c r="G23" s="22"/>
      <c r="H23" s="24" t="s">
        <v>1275</v>
      </c>
      <c r="I23" s="23"/>
      <c r="J23" s="37">
        <v>42614</v>
      </c>
      <c r="K23" s="235">
        <v>42614</v>
      </c>
      <c r="L23" s="24">
        <v>3</v>
      </c>
      <c r="M23" s="24">
        <v>14</v>
      </c>
      <c r="N23" s="236">
        <v>0.33333333333333337</v>
      </c>
      <c r="O23" s="236">
        <v>0.66666666666666663</v>
      </c>
      <c r="P23" s="237">
        <v>0</v>
      </c>
      <c r="Q23" s="237">
        <v>7</v>
      </c>
      <c r="R23" s="237">
        <v>5</v>
      </c>
      <c r="S23" s="237">
        <v>12</v>
      </c>
      <c r="T23" s="238">
        <v>0</v>
      </c>
      <c r="U23" s="238">
        <v>6.67</v>
      </c>
      <c r="V23" s="239">
        <v>4.67</v>
      </c>
      <c r="W23" s="239">
        <v>11.34</v>
      </c>
      <c r="X23" s="237"/>
      <c r="Y23" s="240">
        <v>0</v>
      </c>
      <c r="Z23" s="225">
        <v>0</v>
      </c>
      <c r="AA23" s="225">
        <v>3</v>
      </c>
      <c r="AB23" s="344">
        <v>0</v>
      </c>
      <c r="AC23" s="21"/>
    </row>
    <row r="24" spans="3:29" x14ac:dyDescent="0.4">
      <c r="C24" s="34" t="s">
        <v>1208</v>
      </c>
      <c r="D24" s="34" t="s">
        <v>1157</v>
      </c>
      <c r="E24" s="34"/>
      <c r="F24" s="34"/>
      <c r="G24" s="34"/>
      <c r="H24" s="339" t="s">
        <v>1276</v>
      </c>
      <c r="I24" s="35"/>
      <c r="J24" s="37">
        <v>42669</v>
      </c>
      <c r="K24" s="231">
        <v>42669</v>
      </c>
      <c r="L24" s="33">
        <v>3</v>
      </c>
      <c r="M24" s="28">
        <v>14</v>
      </c>
      <c r="N24" s="249">
        <v>0.18279569892473113</v>
      </c>
      <c r="O24" s="249">
        <v>0.81720430107526887</v>
      </c>
      <c r="P24" s="232">
        <v>0</v>
      </c>
      <c r="Q24" s="232">
        <v>8</v>
      </c>
      <c r="R24" s="232">
        <v>3</v>
      </c>
      <c r="S24" s="232">
        <v>11</v>
      </c>
      <c r="T24" s="233">
        <v>0</v>
      </c>
      <c r="U24" s="233">
        <v>8.17</v>
      </c>
      <c r="V24" s="234">
        <v>2.5600000000000005</v>
      </c>
      <c r="W24" s="234">
        <v>10.73</v>
      </c>
      <c r="X24" s="253"/>
      <c r="Y24" s="260">
        <v>0</v>
      </c>
      <c r="Z24" s="261">
        <v>0</v>
      </c>
      <c r="AA24" s="261">
        <v>3</v>
      </c>
      <c r="AB24" s="346">
        <v>0</v>
      </c>
      <c r="AC24" s="21"/>
    </row>
    <row r="25" spans="3:29" x14ac:dyDescent="0.4">
      <c r="C25" s="22" t="s">
        <v>1209</v>
      </c>
      <c r="D25" s="22" t="s">
        <v>1170</v>
      </c>
      <c r="E25" s="22"/>
      <c r="F25" s="22"/>
      <c r="G25" s="22"/>
      <c r="H25" s="24" t="s">
        <v>1276</v>
      </c>
      <c r="I25" s="23"/>
      <c r="J25" s="37">
        <v>42782</v>
      </c>
      <c r="K25" s="235">
        <v>42782</v>
      </c>
      <c r="L25" s="24">
        <v>2</v>
      </c>
      <c r="M25" s="24">
        <v>10</v>
      </c>
      <c r="N25" s="236">
        <v>0.87202380952380953</v>
      </c>
      <c r="O25" s="236">
        <v>0.12797619047619047</v>
      </c>
      <c r="P25" s="237">
        <v>0</v>
      </c>
      <c r="Q25" s="237">
        <v>1</v>
      </c>
      <c r="R25" s="237">
        <v>9</v>
      </c>
      <c r="S25" s="237">
        <v>10</v>
      </c>
      <c r="T25" s="238">
        <v>0</v>
      </c>
      <c r="U25" s="238">
        <v>0.9</v>
      </c>
      <c r="V25" s="239">
        <v>8.7200000000000006</v>
      </c>
      <c r="W25" s="239">
        <v>9.620000000000001</v>
      </c>
      <c r="X25" s="237"/>
      <c r="Y25" s="240">
        <v>0</v>
      </c>
      <c r="Z25" s="225">
        <v>0</v>
      </c>
      <c r="AA25" s="225">
        <v>3</v>
      </c>
      <c r="AB25" s="344">
        <v>0</v>
      </c>
      <c r="AC25" s="21"/>
    </row>
    <row r="26" spans="3:29" x14ac:dyDescent="0.4">
      <c r="C26" s="34" t="s">
        <v>1210</v>
      </c>
      <c r="D26" s="34" t="s">
        <v>1211</v>
      </c>
      <c r="E26" s="34"/>
      <c r="F26" s="34"/>
      <c r="G26" s="34"/>
      <c r="H26" s="339" t="s">
        <v>1277</v>
      </c>
      <c r="I26" s="35"/>
      <c r="J26" s="37">
        <v>42821</v>
      </c>
      <c r="K26" s="231">
        <v>42821</v>
      </c>
      <c r="L26" s="33">
        <v>2</v>
      </c>
      <c r="M26" s="28">
        <v>10</v>
      </c>
      <c r="N26" s="249">
        <v>0.76344086021505375</v>
      </c>
      <c r="O26" s="249">
        <v>0.23655913978494625</v>
      </c>
      <c r="P26" s="232">
        <v>0</v>
      </c>
      <c r="Q26" s="232">
        <v>2</v>
      </c>
      <c r="R26" s="232">
        <v>8</v>
      </c>
      <c r="S26" s="232">
        <v>10</v>
      </c>
      <c r="T26" s="233">
        <v>0</v>
      </c>
      <c r="U26" s="233">
        <v>1.66</v>
      </c>
      <c r="V26" s="234">
        <v>7.63</v>
      </c>
      <c r="W26" s="234">
        <v>9.2899999999999991</v>
      </c>
      <c r="X26" s="253"/>
      <c r="Y26" s="260">
        <v>0</v>
      </c>
      <c r="Z26" s="261">
        <v>0</v>
      </c>
      <c r="AA26" s="261">
        <v>3</v>
      </c>
      <c r="AB26" s="346">
        <v>0</v>
      </c>
      <c r="AC26" s="21"/>
    </row>
    <row r="27" spans="3:29" x14ac:dyDescent="0.4">
      <c r="C27" s="22" t="s">
        <v>1212</v>
      </c>
      <c r="D27" s="22" t="s">
        <v>1213</v>
      </c>
      <c r="E27" s="22"/>
      <c r="F27" s="22"/>
      <c r="G27" s="22"/>
      <c r="H27" s="24" t="s">
        <v>1278</v>
      </c>
      <c r="I27" s="23"/>
      <c r="J27" s="37">
        <v>42919</v>
      </c>
      <c r="K27" s="235">
        <v>42919</v>
      </c>
      <c r="L27" s="24">
        <v>2</v>
      </c>
      <c r="M27" s="24">
        <v>10</v>
      </c>
      <c r="N27" s="236">
        <v>0.4946236559139785</v>
      </c>
      <c r="O27" s="236">
        <v>0.5053763440860215</v>
      </c>
      <c r="P27" s="237">
        <v>0</v>
      </c>
      <c r="Q27" s="237">
        <v>4</v>
      </c>
      <c r="R27" s="237">
        <v>5</v>
      </c>
      <c r="S27" s="237">
        <v>9</v>
      </c>
      <c r="T27" s="238">
        <v>0</v>
      </c>
      <c r="U27" s="238">
        <v>3.54</v>
      </c>
      <c r="V27" s="239">
        <v>4.95</v>
      </c>
      <c r="W27" s="239">
        <v>8.49</v>
      </c>
      <c r="X27" s="237"/>
      <c r="Y27" s="240">
        <v>0</v>
      </c>
      <c r="Z27" s="225">
        <v>0</v>
      </c>
      <c r="AA27" s="225">
        <v>3</v>
      </c>
      <c r="AB27" s="344">
        <v>0</v>
      </c>
      <c r="AC27" s="21"/>
    </row>
    <row r="28" spans="3:29" x14ac:dyDescent="0.4">
      <c r="C28" s="34" t="s">
        <v>1214</v>
      </c>
      <c r="D28" s="34" t="s">
        <v>1160</v>
      </c>
      <c r="E28" s="34"/>
      <c r="F28" s="34"/>
      <c r="G28" s="34"/>
      <c r="H28" s="339" t="s">
        <v>1279</v>
      </c>
      <c r="I28" s="35"/>
      <c r="J28" s="37">
        <v>42919</v>
      </c>
      <c r="K28" s="231">
        <v>42919</v>
      </c>
      <c r="L28" s="33">
        <v>2</v>
      </c>
      <c r="M28" s="28">
        <v>10</v>
      </c>
      <c r="N28" s="249">
        <v>0.4946236559139785</v>
      </c>
      <c r="O28" s="249">
        <v>0.5053763440860215</v>
      </c>
      <c r="P28" s="232">
        <v>0</v>
      </c>
      <c r="Q28" s="232">
        <v>4</v>
      </c>
      <c r="R28" s="232">
        <v>5</v>
      </c>
      <c r="S28" s="232">
        <v>9</v>
      </c>
      <c r="T28" s="233">
        <v>0</v>
      </c>
      <c r="U28" s="233">
        <v>3.54</v>
      </c>
      <c r="V28" s="234">
        <v>4.95</v>
      </c>
      <c r="W28" s="234">
        <v>8.49</v>
      </c>
      <c r="X28" s="253"/>
      <c r="Y28" s="260">
        <v>0</v>
      </c>
      <c r="Z28" s="261">
        <v>0</v>
      </c>
      <c r="AA28" s="261">
        <v>3</v>
      </c>
      <c r="AB28" s="346">
        <v>0</v>
      </c>
      <c r="AC28" s="21"/>
    </row>
    <row r="29" spans="3:29" x14ac:dyDescent="0.4">
      <c r="C29" s="22" t="s">
        <v>1215</v>
      </c>
      <c r="D29" s="22" t="s">
        <v>1155</v>
      </c>
      <c r="E29" s="22"/>
      <c r="F29" s="22"/>
      <c r="G29" s="22"/>
      <c r="H29" s="24" t="s">
        <v>1280</v>
      </c>
      <c r="I29" s="23"/>
      <c r="J29" s="37">
        <v>42962</v>
      </c>
      <c r="K29" s="235">
        <v>42962</v>
      </c>
      <c r="L29" s="24">
        <v>2</v>
      </c>
      <c r="M29" s="24">
        <v>10</v>
      </c>
      <c r="N29" s="236">
        <v>0.37903225806451613</v>
      </c>
      <c r="O29" s="236">
        <v>0.62096774193548387</v>
      </c>
      <c r="P29" s="237">
        <v>0</v>
      </c>
      <c r="Q29" s="237">
        <v>4</v>
      </c>
      <c r="R29" s="237">
        <v>4</v>
      </c>
      <c r="S29" s="237">
        <v>8</v>
      </c>
      <c r="T29" s="238">
        <v>0</v>
      </c>
      <c r="U29" s="238">
        <v>4.3499999999999996</v>
      </c>
      <c r="V29" s="239">
        <v>3.79</v>
      </c>
      <c r="W29" s="239">
        <v>8.14</v>
      </c>
      <c r="X29" s="237"/>
      <c r="Y29" s="240">
        <v>0</v>
      </c>
      <c r="Z29" s="225">
        <v>0</v>
      </c>
      <c r="AA29" s="225">
        <v>3</v>
      </c>
      <c r="AB29" s="344">
        <v>0</v>
      </c>
      <c r="AC29" s="21"/>
    </row>
    <row r="30" spans="3:29" x14ac:dyDescent="0.4">
      <c r="C30" s="34" t="s">
        <v>1216</v>
      </c>
      <c r="D30" s="34" t="s">
        <v>1161</v>
      </c>
      <c r="E30" s="34"/>
      <c r="F30" s="34"/>
      <c r="G30" s="34"/>
      <c r="H30" s="339" t="s">
        <v>1276</v>
      </c>
      <c r="I30" s="35"/>
      <c r="J30" s="37">
        <v>43040</v>
      </c>
      <c r="K30" s="231">
        <v>43040</v>
      </c>
      <c r="L30" s="33">
        <v>2</v>
      </c>
      <c r="M30" s="28">
        <v>10</v>
      </c>
      <c r="N30" s="249">
        <v>0.16666666666666663</v>
      </c>
      <c r="O30" s="249">
        <v>0.83333333333333337</v>
      </c>
      <c r="P30" s="232">
        <v>0</v>
      </c>
      <c r="Q30" s="232">
        <v>6</v>
      </c>
      <c r="R30" s="232">
        <v>2</v>
      </c>
      <c r="S30" s="232">
        <v>8</v>
      </c>
      <c r="T30" s="233">
        <v>0</v>
      </c>
      <c r="U30" s="233">
        <v>5.83</v>
      </c>
      <c r="V30" s="234">
        <v>1.67</v>
      </c>
      <c r="W30" s="234">
        <v>7.5</v>
      </c>
      <c r="X30" s="253"/>
      <c r="Y30" s="260">
        <v>0</v>
      </c>
      <c r="Z30" s="261">
        <v>0</v>
      </c>
      <c r="AA30" s="261">
        <v>3</v>
      </c>
      <c r="AB30" s="346">
        <v>0</v>
      </c>
      <c r="AC30" s="21"/>
    </row>
    <row r="31" spans="3:29" x14ac:dyDescent="0.4">
      <c r="C31" s="22" t="s">
        <v>1217</v>
      </c>
      <c r="D31" s="22" t="s">
        <v>1153</v>
      </c>
      <c r="E31" s="22"/>
      <c r="F31" s="22"/>
      <c r="G31" s="22"/>
      <c r="H31" s="24" t="s">
        <v>1280</v>
      </c>
      <c r="I31" s="23"/>
      <c r="J31" s="37">
        <v>43325</v>
      </c>
      <c r="K31" s="235">
        <v>43325</v>
      </c>
      <c r="L31" s="24">
        <v>1</v>
      </c>
      <c r="M31" s="24">
        <v>7</v>
      </c>
      <c r="N31" s="236">
        <v>0.38440860215053763</v>
      </c>
      <c r="O31" s="236">
        <v>0.61559139784946237</v>
      </c>
      <c r="P31" s="237">
        <v>3</v>
      </c>
      <c r="Q31" s="237">
        <v>0</v>
      </c>
      <c r="R31" s="237">
        <v>3</v>
      </c>
      <c r="S31" s="237">
        <v>6</v>
      </c>
      <c r="T31" s="238">
        <v>3</v>
      </c>
      <c r="U31" s="238">
        <v>0</v>
      </c>
      <c r="V31" s="239">
        <v>2.6900000000000004</v>
      </c>
      <c r="W31" s="239">
        <v>5.69</v>
      </c>
      <c r="X31" s="237"/>
      <c r="Y31" s="240">
        <v>3</v>
      </c>
      <c r="Z31" s="225">
        <v>0</v>
      </c>
      <c r="AA31" s="225">
        <v>3</v>
      </c>
      <c r="AB31" s="344">
        <v>0</v>
      </c>
      <c r="AC31" s="21"/>
    </row>
    <row r="32" spans="3:29" x14ac:dyDescent="0.4">
      <c r="C32" s="34" t="s">
        <v>1218</v>
      </c>
      <c r="D32" s="34" t="s">
        <v>1159</v>
      </c>
      <c r="E32" s="34"/>
      <c r="F32" s="34"/>
      <c r="G32" s="34"/>
      <c r="H32" s="339" t="s">
        <v>1280</v>
      </c>
      <c r="I32" s="35"/>
      <c r="J32" s="37">
        <v>43397</v>
      </c>
      <c r="K32" s="231">
        <v>43397</v>
      </c>
      <c r="L32" s="33">
        <v>1</v>
      </c>
      <c r="M32" s="28">
        <v>7</v>
      </c>
      <c r="N32" s="249">
        <v>0.18817204301075263</v>
      </c>
      <c r="O32" s="249">
        <v>0.81182795698924737</v>
      </c>
      <c r="P32" s="232">
        <v>3</v>
      </c>
      <c r="Q32" s="232">
        <v>0</v>
      </c>
      <c r="R32" s="232">
        <v>1</v>
      </c>
      <c r="S32" s="232">
        <v>4</v>
      </c>
      <c r="T32" s="233">
        <v>3</v>
      </c>
      <c r="U32" s="233">
        <v>0</v>
      </c>
      <c r="V32" s="234">
        <v>1.3200000000000003</v>
      </c>
      <c r="W32" s="234">
        <v>4.32</v>
      </c>
      <c r="X32" s="253"/>
      <c r="Y32" s="260">
        <v>3</v>
      </c>
      <c r="Z32" s="261">
        <v>0</v>
      </c>
      <c r="AA32" s="261">
        <v>3</v>
      </c>
      <c r="AB32" s="346">
        <v>0</v>
      </c>
      <c r="AC32" s="21"/>
    </row>
    <row r="33" spans="3:29" x14ac:dyDescent="0.4">
      <c r="C33" s="22" t="s">
        <v>1219</v>
      </c>
      <c r="D33" s="22" t="s">
        <v>1173</v>
      </c>
      <c r="E33" s="22"/>
      <c r="F33" s="22"/>
      <c r="G33" s="22"/>
      <c r="H33" s="24" t="s">
        <v>1281</v>
      </c>
      <c r="I33" s="23"/>
      <c r="J33" s="37">
        <v>43423</v>
      </c>
      <c r="K33" s="235">
        <v>43423</v>
      </c>
      <c r="L33" s="24">
        <v>1</v>
      </c>
      <c r="M33" s="24">
        <v>7</v>
      </c>
      <c r="N33" s="236">
        <v>0.1166666666666667</v>
      </c>
      <c r="O33" s="236">
        <v>0.8833333333333333</v>
      </c>
      <c r="P33" s="237">
        <v>3</v>
      </c>
      <c r="Q33" s="237">
        <v>0</v>
      </c>
      <c r="R33" s="237">
        <v>1</v>
      </c>
      <c r="S33" s="237">
        <v>4</v>
      </c>
      <c r="T33" s="238">
        <v>3</v>
      </c>
      <c r="U33" s="238">
        <v>0</v>
      </c>
      <c r="V33" s="239">
        <v>0.82000000000000028</v>
      </c>
      <c r="W33" s="239">
        <v>3.8200000000000003</v>
      </c>
      <c r="X33" s="237"/>
      <c r="Y33" s="240">
        <v>3</v>
      </c>
      <c r="Z33" s="225">
        <v>0</v>
      </c>
      <c r="AA33" s="225">
        <v>3</v>
      </c>
      <c r="AB33" s="344">
        <v>0</v>
      </c>
      <c r="AC33" s="21"/>
    </row>
    <row r="34" spans="3:29" x14ac:dyDescent="0.4">
      <c r="C34" s="34" t="s">
        <v>1220</v>
      </c>
      <c r="D34" s="34" t="s">
        <v>1221</v>
      </c>
      <c r="E34" s="34"/>
      <c r="F34" s="34"/>
      <c r="G34" s="34"/>
      <c r="H34" s="339" t="s">
        <v>1282</v>
      </c>
      <c r="I34" s="35"/>
      <c r="J34" s="37">
        <v>43423</v>
      </c>
      <c r="K34" s="231">
        <v>43423</v>
      </c>
      <c r="L34" s="33">
        <v>1</v>
      </c>
      <c r="M34" s="28">
        <v>7</v>
      </c>
      <c r="N34" s="249">
        <v>0.1166666666666667</v>
      </c>
      <c r="O34" s="249">
        <v>0.8833333333333333</v>
      </c>
      <c r="P34" s="232">
        <v>3</v>
      </c>
      <c r="Q34" s="232">
        <v>0</v>
      </c>
      <c r="R34" s="232">
        <v>1</v>
      </c>
      <c r="S34" s="232">
        <v>4</v>
      </c>
      <c r="T34" s="233">
        <v>3</v>
      </c>
      <c r="U34" s="233">
        <v>0</v>
      </c>
      <c r="V34" s="234">
        <v>0.82000000000000028</v>
      </c>
      <c r="W34" s="234">
        <v>3.8200000000000003</v>
      </c>
      <c r="X34" s="253"/>
      <c r="Y34" s="260">
        <v>3</v>
      </c>
      <c r="Z34" s="261">
        <v>0</v>
      </c>
      <c r="AA34" s="261">
        <v>3</v>
      </c>
      <c r="AB34" s="346">
        <v>0</v>
      </c>
      <c r="AC34" s="21"/>
    </row>
    <row r="35" spans="3:29" x14ac:dyDescent="0.4">
      <c r="C35" s="22" t="s">
        <v>1222</v>
      </c>
      <c r="D35" s="22" t="s">
        <v>1168</v>
      </c>
      <c r="E35" s="22"/>
      <c r="F35" s="22"/>
      <c r="G35" s="22"/>
      <c r="H35" s="24" t="s">
        <v>1280</v>
      </c>
      <c r="I35" s="23"/>
      <c r="J35" s="37">
        <v>43549</v>
      </c>
      <c r="K35" s="235">
        <v>43549</v>
      </c>
      <c r="L35" s="24">
        <v>0</v>
      </c>
      <c r="M35" s="24">
        <v>0</v>
      </c>
      <c r="N35" s="236">
        <v>0.76881720430107525</v>
      </c>
      <c r="O35" s="236">
        <v>0.23118279569892475</v>
      </c>
      <c r="P35" s="237">
        <v>1.6</v>
      </c>
      <c r="Q35" s="237">
        <v>0</v>
      </c>
      <c r="R35" s="237">
        <v>0</v>
      </c>
      <c r="S35" s="237">
        <v>1.6</v>
      </c>
      <c r="T35" s="238">
        <v>1.6</v>
      </c>
      <c r="U35" s="238">
        <v>0</v>
      </c>
      <c r="V35" s="239">
        <v>0</v>
      </c>
      <c r="W35" s="239">
        <v>1.6</v>
      </c>
      <c r="X35" s="237"/>
      <c r="Y35" s="240">
        <v>1.6</v>
      </c>
      <c r="Z35" s="225">
        <v>0</v>
      </c>
      <c r="AA35" s="225">
        <v>3</v>
      </c>
      <c r="AB35" s="344">
        <v>1.6</v>
      </c>
      <c r="AC35" s="21"/>
    </row>
    <row r="36" spans="3:29" x14ac:dyDescent="0.4">
      <c r="C36" s="34" t="s">
        <v>1223</v>
      </c>
      <c r="D36" s="34" t="s">
        <v>1165</v>
      </c>
      <c r="E36" s="34"/>
      <c r="F36" s="34"/>
      <c r="G36" s="34"/>
      <c r="H36" s="339" t="s">
        <v>1280</v>
      </c>
      <c r="I36" s="35"/>
      <c r="J36" s="37">
        <v>43557</v>
      </c>
      <c r="K36" s="231">
        <v>43557</v>
      </c>
      <c r="L36" s="33">
        <v>0</v>
      </c>
      <c r="M36" s="28">
        <v>0</v>
      </c>
      <c r="N36" s="249">
        <v>0.74722222222222223</v>
      </c>
      <c r="O36" s="249">
        <v>0.25277777777777777</v>
      </c>
      <c r="P36" s="232">
        <v>1.5</v>
      </c>
      <c r="Q36" s="232">
        <v>0</v>
      </c>
      <c r="R36" s="232">
        <v>0</v>
      </c>
      <c r="S36" s="232">
        <v>1.5</v>
      </c>
      <c r="T36" s="233">
        <v>1.5</v>
      </c>
      <c r="U36" s="233">
        <v>0</v>
      </c>
      <c r="V36" s="234">
        <v>0</v>
      </c>
      <c r="W36" s="234">
        <v>1.5</v>
      </c>
      <c r="X36" s="253"/>
      <c r="Y36" s="260">
        <v>1.5</v>
      </c>
      <c r="Z36" s="261">
        <v>0</v>
      </c>
      <c r="AA36" s="261">
        <v>3</v>
      </c>
      <c r="AB36" s="346">
        <v>1.5</v>
      </c>
      <c r="AC36" s="21"/>
    </row>
    <row r="37" spans="3:29" x14ac:dyDescent="0.4">
      <c r="C37" s="22" t="s">
        <v>1224</v>
      </c>
      <c r="D37" s="22" t="s">
        <v>1158</v>
      </c>
      <c r="E37" s="22"/>
      <c r="F37" s="22"/>
      <c r="G37" s="22"/>
      <c r="H37" s="24" t="s">
        <v>1280</v>
      </c>
      <c r="I37" s="23"/>
      <c r="J37" s="37">
        <v>43556</v>
      </c>
      <c r="K37" s="235">
        <v>43556</v>
      </c>
      <c r="L37" s="24">
        <v>0</v>
      </c>
      <c r="M37" s="24">
        <v>0</v>
      </c>
      <c r="N37" s="236">
        <v>0.75</v>
      </c>
      <c r="O37" s="236">
        <v>0.25</v>
      </c>
      <c r="P37" s="237">
        <v>1.5</v>
      </c>
      <c r="Q37" s="237">
        <v>0</v>
      </c>
      <c r="R37" s="237">
        <v>0</v>
      </c>
      <c r="S37" s="237">
        <v>1.5</v>
      </c>
      <c r="T37" s="238">
        <v>1.5</v>
      </c>
      <c r="U37" s="238">
        <v>0</v>
      </c>
      <c r="V37" s="239">
        <v>0</v>
      </c>
      <c r="W37" s="239">
        <v>1.5</v>
      </c>
      <c r="X37" s="237"/>
      <c r="Y37" s="240">
        <v>1.5</v>
      </c>
      <c r="Z37" s="225">
        <v>0</v>
      </c>
      <c r="AA37" s="225">
        <v>3</v>
      </c>
      <c r="AB37" s="344">
        <v>1.5</v>
      </c>
      <c r="AC37" s="21"/>
    </row>
    <row r="38" spans="3:29" x14ac:dyDescent="0.4">
      <c r="C38" s="34" t="s">
        <v>1225</v>
      </c>
      <c r="D38" s="34" t="s">
        <v>1181</v>
      </c>
      <c r="E38" s="34"/>
      <c r="F38" s="34"/>
      <c r="G38" s="34"/>
      <c r="H38" s="339" t="s">
        <v>1283</v>
      </c>
      <c r="I38" s="35"/>
      <c r="J38" s="37">
        <v>43601</v>
      </c>
      <c r="K38" s="231">
        <v>43601</v>
      </c>
      <c r="L38" s="33">
        <v>0</v>
      </c>
      <c r="M38" s="28">
        <v>0</v>
      </c>
      <c r="N38" s="249">
        <v>0.62634408602150526</v>
      </c>
      <c r="O38" s="249">
        <v>0.37365591397849474</v>
      </c>
      <c r="P38" s="232">
        <v>0.8</v>
      </c>
      <c r="Q38" s="232">
        <v>0</v>
      </c>
      <c r="R38" s="232">
        <v>0</v>
      </c>
      <c r="S38" s="232">
        <v>0.8</v>
      </c>
      <c r="T38" s="233">
        <v>0.8</v>
      </c>
      <c r="U38" s="233">
        <v>0</v>
      </c>
      <c r="V38" s="234">
        <v>0</v>
      </c>
      <c r="W38" s="234">
        <v>0.8</v>
      </c>
      <c r="X38" s="253"/>
      <c r="Y38" s="260">
        <v>0.8</v>
      </c>
      <c r="Z38" s="261">
        <v>0</v>
      </c>
      <c r="AA38" s="261">
        <v>3</v>
      </c>
      <c r="AB38" s="346">
        <v>0.8</v>
      </c>
      <c r="AC38" s="21"/>
    </row>
    <row r="39" spans="3:29" x14ac:dyDescent="0.4">
      <c r="C39" s="22" t="s">
        <v>1226</v>
      </c>
      <c r="D39" s="22" t="s">
        <v>1154</v>
      </c>
      <c r="E39" s="22"/>
      <c r="F39" s="22"/>
      <c r="G39" s="22"/>
      <c r="H39" s="24" t="s">
        <v>1276</v>
      </c>
      <c r="I39" s="23"/>
      <c r="J39" s="37">
        <v>43640</v>
      </c>
      <c r="K39" s="235">
        <v>43640</v>
      </c>
      <c r="L39" s="24">
        <v>0</v>
      </c>
      <c r="M39" s="24">
        <v>0</v>
      </c>
      <c r="N39" s="236">
        <v>0.51944444444444438</v>
      </c>
      <c r="O39" s="236">
        <v>0.48055555555555562</v>
      </c>
      <c r="P39" s="237">
        <v>0.1</v>
      </c>
      <c r="Q39" s="237">
        <v>0</v>
      </c>
      <c r="R39" s="237">
        <v>0</v>
      </c>
      <c r="S39" s="237">
        <v>0.1</v>
      </c>
      <c r="T39" s="238">
        <v>0.1</v>
      </c>
      <c r="U39" s="238">
        <v>0</v>
      </c>
      <c r="V39" s="239">
        <v>0</v>
      </c>
      <c r="W39" s="239">
        <v>0.1</v>
      </c>
      <c r="X39" s="237"/>
      <c r="Y39" s="240">
        <v>0.1</v>
      </c>
      <c r="Z39" s="225">
        <v>0</v>
      </c>
      <c r="AA39" s="225">
        <v>3</v>
      </c>
      <c r="AB39" s="344">
        <v>0.1</v>
      </c>
      <c r="AC39" s="21"/>
    </row>
    <row r="40" spans="3:29" x14ac:dyDescent="0.4">
      <c r="C40" s="34" t="s">
        <v>1227</v>
      </c>
      <c r="D40" s="34" t="s">
        <v>1175</v>
      </c>
      <c r="E40" s="34"/>
      <c r="F40" s="34"/>
      <c r="G40" s="34"/>
      <c r="H40" s="339" t="s">
        <v>1284</v>
      </c>
      <c r="I40" s="35"/>
      <c r="J40" s="37">
        <v>43647</v>
      </c>
      <c r="K40" s="231">
        <v>43647</v>
      </c>
      <c r="L40" s="33">
        <v>0</v>
      </c>
      <c r="M40" s="28">
        <v>0</v>
      </c>
      <c r="N40" s="249">
        <v>0.5</v>
      </c>
      <c r="O40" s="249">
        <v>0.5</v>
      </c>
      <c r="P40" s="232">
        <v>0</v>
      </c>
      <c r="Q40" s="232">
        <v>0</v>
      </c>
      <c r="R40" s="232">
        <v>0</v>
      </c>
      <c r="S40" s="232">
        <v>0</v>
      </c>
      <c r="T40" s="233">
        <v>0</v>
      </c>
      <c r="U40" s="233">
        <v>0</v>
      </c>
      <c r="V40" s="234">
        <v>0</v>
      </c>
      <c r="W40" s="234">
        <v>0</v>
      </c>
      <c r="X40" s="253"/>
      <c r="Y40" s="260">
        <v>0</v>
      </c>
      <c r="Z40" s="261">
        <v>0</v>
      </c>
      <c r="AA40" s="261">
        <v>3</v>
      </c>
      <c r="AB40" s="346">
        <v>0</v>
      </c>
      <c r="AC40" s="21"/>
    </row>
    <row r="41" spans="3:29" x14ac:dyDescent="0.4">
      <c r="C41" s="22" t="s">
        <v>1228</v>
      </c>
      <c r="D41" s="22" t="s">
        <v>1176</v>
      </c>
      <c r="E41" s="22"/>
      <c r="F41" s="22"/>
      <c r="G41" s="22"/>
      <c r="H41" s="24" t="s">
        <v>1284</v>
      </c>
      <c r="I41" s="23"/>
      <c r="J41" s="37">
        <v>43647</v>
      </c>
      <c r="K41" s="235">
        <v>43647</v>
      </c>
      <c r="L41" s="24">
        <v>0</v>
      </c>
      <c r="M41" s="24">
        <v>0</v>
      </c>
      <c r="N41" s="236">
        <v>0.5</v>
      </c>
      <c r="O41" s="236">
        <v>0.5</v>
      </c>
      <c r="P41" s="237">
        <v>0</v>
      </c>
      <c r="Q41" s="237">
        <v>0</v>
      </c>
      <c r="R41" s="237">
        <v>0</v>
      </c>
      <c r="S41" s="237">
        <v>0</v>
      </c>
      <c r="T41" s="238">
        <v>0</v>
      </c>
      <c r="U41" s="238">
        <v>0</v>
      </c>
      <c r="V41" s="239">
        <v>0</v>
      </c>
      <c r="W41" s="239">
        <v>0</v>
      </c>
      <c r="X41" s="237"/>
      <c r="Y41" s="240">
        <v>0</v>
      </c>
      <c r="Z41" s="225">
        <v>0</v>
      </c>
      <c r="AA41" s="225">
        <v>3</v>
      </c>
      <c r="AB41" s="344">
        <v>0</v>
      </c>
      <c r="AC41" s="21"/>
    </row>
    <row r="42" spans="3:29" x14ac:dyDescent="0.4">
      <c r="C42" s="34" t="s">
        <v>1229</v>
      </c>
      <c r="D42" s="34" t="s">
        <v>1166</v>
      </c>
      <c r="E42" s="34"/>
      <c r="F42" s="34"/>
      <c r="G42" s="34"/>
      <c r="H42" s="339" t="s">
        <v>1280</v>
      </c>
      <c r="I42" s="35"/>
      <c r="J42" s="37">
        <v>43678</v>
      </c>
      <c r="K42" s="231">
        <v>43678</v>
      </c>
      <c r="L42" s="33">
        <v>0</v>
      </c>
      <c r="M42" s="28">
        <v>0</v>
      </c>
      <c r="N42" s="249">
        <v>0.41666666666666663</v>
      </c>
      <c r="O42" s="249">
        <v>0.58333333333333337</v>
      </c>
      <c r="P42" s="232">
        <v>0</v>
      </c>
      <c r="Q42" s="232">
        <v>0</v>
      </c>
      <c r="R42" s="232">
        <v>0</v>
      </c>
      <c r="S42" s="232">
        <v>0</v>
      </c>
      <c r="T42" s="233">
        <v>0</v>
      </c>
      <c r="U42" s="233">
        <v>0</v>
      </c>
      <c r="V42" s="234">
        <v>0</v>
      </c>
      <c r="W42" s="234">
        <v>0</v>
      </c>
      <c r="X42" s="253"/>
      <c r="Y42" s="260">
        <v>0</v>
      </c>
      <c r="Z42" s="261">
        <v>0</v>
      </c>
      <c r="AA42" s="261">
        <v>3</v>
      </c>
      <c r="AB42" s="346">
        <v>0</v>
      </c>
      <c r="AC42" s="21"/>
    </row>
    <row r="43" spans="3:29" x14ac:dyDescent="0.4">
      <c r="C43" s="22" t="s">
        <v>1230</v>
      </c>
      <c r="D43" s="22" t="s">
        <v>1182</v>
      </c>
      <c r="E43" s="22"/>
      <c r="F43" s="22"/>
      <c r="G43" s="22"/>
      <c r="H43" s="24" t="s">
        <v>1283</v>
      </c>
      <c r="I43" s="23"/>
      <c r="J43" s="37">
        <v>43678</v>
      </c>
      <c r="K43" s="235">
        <v>43678</v>
      </c>
      <c r="L43" s="24">
        <v>0</v>
      </c>
      <c r="M43" s="24">
        <v>0</v>
      </c>
      <c r="N43" s="236">
        <v>0.41666666666666663</v>
      </c>
      <c r="O43" s="236">
        <v>0.58333333333333337</v>
      </c>
      <c r="P43" s="237">
        <v>0</v>
      </c>
      <c r="Q43" s="237">
        <v>0</v>
      </c>
      <c r="R43" s="237">
        <v>0</v>
      </c>
      <c r="S43" s="237">
        <v>0</v>
      </c>
      <c r="T43" s="238">
        <v>0</v>
      </c>
      <c r="U43" s="238">
        <v>0</v>
      </c>
      <c r="V43" s="239">
        <v>0</v>
      </c>
      <c r="W43" s="239">
        <v>0</v>
      </c>
      <c r="X43" s="237"/>
      <c r="Y43" s="240">
        <v>0</v>
      </c>
      <c r="Z43" s="225">
        <v>0</v>
      </c>
      <c r="AA43" s="225">
        <v>3</v>
      </c>
      <c r="AB43" s="344">
        <v>0</v>
      </c>
      <c r="AC43" s="21"/>
    </row>
    <row r="44" spans="3:29" x14ac:dyDescent="0.4">
      <c r="C44" s="34" t="s">
        <v>1231</v>
      </c>
      <c r="D44" s="34" t="s">
        <v>1171</v>
      </c>
      <c r="E44" s="34"/>
      <c r="F44" s="34"/>
      <c r="G44" s="34"/>
      <c r="H44" s="339" t="s">
        <v>1285</v>
      </c>
      <c r="I44" s="35"/>
      <c r="J44" s="37">
        <v>43692</v>
      </c>
      <c r="K44" s="231">
        <v>43692</v>
      </c>
      <c r="L44" s="33">
        <v>0</v>
      </c>
      <c r="M44" s="28">
        <v>0</v>
      </c>
      <c r="N44" s="249">
        <v>0.37903225806451613</v>
      </c>
      <c r="O44" s="249">
        <v>0.62096774193548387</v>
      </c>
      <c r="P44" s="232">
        <v>0</v>
      </c>
      <c r="Q44" s="232">
        <v>0</v>
      </c>
      <c r="R44" s="232">
        <v>0</v>
      </c>
      <c r="S44" s="232">
        <v>0</v>
      </c>
      <c r="T44" s="233">
        <v>0</v>
      </c>
      <c r="U44" s="233">
        <v>0</v>
      </c>
      <c r="V44" s="234">
        <v>0</v>
      </c>
      <c r="W44" s="234">
        <v>0</v>
      </c>
      <c r="X44" s="253"/>
      <c r="Y44" s="260">
        <v>0</v>
      </c>
      <c r="Z44" s="261">
        <v>0</v>
      </c>
      <c r="AA44" s="261">
        <v>3</v>
      </c>
      <c r="AB44" s="346">
        <v>0</v>
      </c>
      <c r="AC44" s="21"/>
    </row>
    <row r="45" spans="3:29" x14ac:dyDescent="0.4">
      <c r="C45" s="22" t="s">
        <v>1232</v>
      </c>
      <c r="D45" s="22" t="s">
        <v>1233</v>
      </c>
      <c r="E45" s="22"/>
      <c r="F45" s="22"/>
      <c r="G45" s="22"/>
      <c r="H45" s="24" t="s">
        <v>1286</v>
      </c>
      <c r="I45" s="23"/>
      <c r="J45" s="37">
        <v>43692</v>
      </c>
      <c r="K45" s="235">
        <v>43692</v>
      </c>
      <c r="L45" s="24">
        <v>0</v>
      </c>
      <c r="M45" s="24">
        <v>0</v>
      </c>
      <c r="N45" s="236">
        <v>0.37903225806451613</v>
      </c>
      <c r="O45" s="236">
        <v>0.62096774193548387</v>
      </c>
      <c r="P45" s="237">
        <v>0</v>
      </c>
      <c r="Q45" s="237">
        <v>0</v>
      </c>
      <c r="R45" s="237">
        <v>0</v>
      </c>
      <c r="S45" s="237">
        <v>0</v>
      </c>
      <c r="T45" s="238">
        <v>0</v>
      </c>
      <c r="U45" s="238">
        <v>0</v>
      </c>
      <c r="V45" s="239">
        <v>0</v>
      </c>
      <c r="W45" s="239">
        <v>0</v>
      </c>
      <c r="X45" s="237"/>
      <c r="Y45" s="240">
        <v>0</v>
      </c>
      <c r="Z45" s="225">
        <v>0</v>
      </c>
      <c r="AA45" s="225">
        <v>3</v>
      </c>
      <c r="AB45" s="344">
        <v>0</v>
      </c>
      <c r="AC45" s="21"/>
    </row>
    <row r="46" spans="3:29" x14ac:dyDescent="0.4">
      <c r="C46" s="34" t="s">
        <v>1234</v>
      </c>
      <c r="D46" s="34" t="s">
        <v>1235</v>
      </c>
      <c r="E46" s="34"/>
      <c r="F46" s="34"/>
      <c r="G46" s="34"/>
      <c r="H46" s="339" t="s">
        <v>1287</v>
      </c>
      <c r="I46" s="35"/>
      <c r="J46" s="37">
        <v>43692</v>
      </c>
      <c r="K46" s="231">
        <v>43692</v>
      </c>
      <c r="L46" s="33">
        <v>0</v>
      </c>
      <c r="M46" s="28">
        <v>0</v>
      </c>
      <c r="N46" s="249">
        <v>0.37903225806451613</v>
      </c>
      <c r="O46" s="249">
        <v>0.62096774193548387</v>
      </c>
      <c r="P46" s="232">
        <v>0</v>
      </c>
      <c r="Q46" s="232">
        <v>0</v>
      </c>
      <c r="R46" s="232">
        <v>0</v>
      </c>
      <c r="S46" s="232">
        <v>0</v>
      </c>
      <c r="T46" s="233">
        <v>0</v>
      </c>
      <c r="U46" s="233">
        <v>0</v>
      </c>
      <c r="V46" s="234">
        <v>0</v>
      </c>
      <c r="W46" s="234">
        <v>0</v>
      </c>
      <c r="X46" s="253"/>
      <c r="Y46" s="260">
        <v>0</v>
      </c>
      <c r="Z46" s="261">
        <v>0</v>
      </c>
      <c r="AA46" s="261">
        <v>3</v>
      </c>
      <c r="AB46" s="346">
        <v>0</v>
      </c>
      <c r="AC46" s="21"/>
    </row>
    <row r="47" spans="3:29" x14ac:dyDescent="0.4">
      <c r="C47" s="22" t="s">
        <v>1236</v>
      </c>
      <c r="D47" s="22" t="s">
        <v>1169</v>
      </c>
      <c r="E47" s="22"/>
      <c r="F47" s="22"/>
      <c r="G47" s="22"/>
      <c r="H47" s="24" t="s">
        <v>1280</v>
      </c>
      <c r="I47" s="23"/>
      <c r="J47" s="37">
        <v>43703</v>
      </c>
      <c r="K47" s="235">
        <v>43703</v>
      </c>
      <c r="L47" s="24">
        <v>0</v>
      </c>
      <c r="M47" s="24">
        <v>0</v>
      </c>
      <c r="N47" s="236">
        <v>0.34946236559139787</v>
      </c>
      <c r="O47" s="236">
        <v>0.65053763440860213</v>
      </c>
      <c r="P47" s="237">
        <v>0</v>
      </c>
      <c r="Q47" s="237">
        <v>0</v>
      </c>
      <c r="R47" s="237">
        <v>0</v>
      </c>
      <c r="S47" s="237">
        <v>0</v>
      </c>
      <c r="T47" s="238">
        <v>0</v>
      </c>
      <c r="U47" s="238">
        <v>0</v>
      </c>
      <c r="V47" s="239">
        <v>0</v>
      </c>
      <c r="W47" s="239">
        <v>0</v>
      </c>
      <c r="X47" s="237"/>
      <c r="Y47" s="240">
        <v>0</v>
      </c>
      <c r="Z47" s="225">
        <v>0</v>
      </c>
      <c r="AA47" s="225">
        <v>3</v>
      </c>
      <c r="AB47" s="344">
        <v>0</v>
      </c>
      <c r="AC47" s="21"/>
    </row>
    <row r="48" spans="3:29" x14ac:dyDescent="0.4">
      <c r="C48" s="34" t="s">
        <v>1237</v>
      </c>
      <c r="D48" s="34" t="s">
        <v>1238</v>
      </c>
      <c r="E48" s="34"/>
      <c r="F48" s="34"/>
      <c r="G48" s="34"/>
      <c r="H48" s="339" t="s">
        <v>1288</v>
      </c>
      <c r="I48" s="35"/>
      <c r="J48" s="37">
        <v>43710</v>
      </c>
      <c r="K48" s="231">
        <v>43710</v>
      </c>
      <c r="L48" s="33">
        <v>0</v>
      </c>
      <c r="M48" s="28">
        <v>0</v>
      </c>
      <c r="N48" s="249">
        <v>0.3305555555555556</v>
      </c>
      <c r="O48" s="249">
        <v>0.6694444444444444</v>
      </c>
      <c r="P48" s="232">
        <v>0</v>
      </c>
      <c r="Q48" s="232">
        <v>0</v>
      </c>
      <c r="R48" s="232">
        <v>0</v>
      </c>
      <c r="S48" s="232">
        <v>0</v>
      </c>
      <c r="T48" s="233">
        <v>0</v>
      </c>
      <c r="U48" s="233">
        <v>0</v>
      </c>
      <c r="V48" s="234">
        <v>0</v>
      </c>
      <c r="W48" s="234">
        <v>0</v>
      </c>
      <c r="X48" s="253"/>
      <c r="Y48" s="260">
        <v>0</v>
      </c>
      <c r="Z48" s="261">
        <v>0</v>
      </c>
      <c r="AA48" s="261">
        <v>3</v>
      </c>
      <c r="AB48" s="346">
        <v>0</v>
      </c>
      <c r="AC48" s="21"/>
    </row>
    <row r="49" spans="3:29" x14ac:dyDescent="0.4">
      <c r="C49" s="22" t="s">
        <v>1239</v>
      </c>
      <c r="D49" s="22" t="s">
        <v>1180</v>
      </c>
      <c r="E49" s="22"/>
      <c r="F49" s="22"/>
      <c r="G49" s="22"/>
      <c r="H49" s="24" t="s">
        <v>1289</v>
      </c>
      <c r="I49" s="23"/>
      <c r="J49" s="37">
        <v>43714</v>
      </c>
      <c r="K49" s="235">
        <v>43714</v>
      </c>
      <c r="L49" s="24">
        <v>0</v>
      </c>
      <c r="M49" s="24">
        <v>0</v>
      </c>
      <c r="N49" s="236">
        <v>0.31944444444444453</v>
      </c>
      <c r="O49" s="236">
        <v>0.68055555555555547</v>
      </c>
      <c r="P49" s="237">
        <v>0</v>
      </c>
      <c r="Q49" s="237">
        <v>0</v>
      </c>
      <c r="R49" s="237">
        <v>0</v>
      </c>
      <c r="S49" s="237">
        <v>0</v>
      </c>
      <c r="T49" s="238">
        <v>0</v>
      </c>
      <c r="U49" s="238">
        <v>0</v>
      </c>
      <c r="V49" s="239">
        <v>0</v>
      </c>
      <c r="W49" s="239">
        <v>0</v>
      </c>
      <c r="X49" s="237"/>
      <c r="Y49" s="240">
        <v>0</v>
      </c>
      <c r="Z49" s="225">
        <v>0</v>
      </c>
      <c r="AA49" s="225">
        <v>3</v>
      </c>
      <c r="AB49" s="344">
        <v>0</v>
      </c>
      <c r="AC49" s="21"/>
    </row>
    <row r="50" spans="3:29" x14ac:dyDescent="0.4">
      <c r="C50" s="34" t="s">
        <v>1240</v>
      </c>
      <c r="D50" s="34" t="s">
        <v>1241</v>
      </c>
      <c r="E50" s="34"/>
      <c r="F50" s="34"/>
      <c r="G50" s="34"/>
      <c r="H50" s="339" t="s">
        <v>1266</v>
      </c>
      <c r="I50" s="35"/>
      <c r="J50" s="37">
        <v>43724</v>
      </c>
      <c r="K50" s="231">
        <v>43724</v>
      </c>
      <c r="L50" s="33">
        <v>0</v>
      </c>
      <c r="M50" s="28">
        <v>0</v>
      </c>
      <c r="N50" s="249">
        <v>0.29166666666666663</v>
      </c>
      <c r="O50" s="249">
        <v>0.70833333333333337</v>
      </c>
      <c r="P50" s="232">
        <v>0</v>
      </c>
      <c r="Q50" s="232">
        <v>0</v>
      </c>
      <c r="R50" s="232">
        <v>0</v>
      </c>
      <c r="S50" s="232">
        <v>0</v>
      </c>
      <c r="T50" s="233">
        <v>0</v>
      </c>
      <c r="U50" s="233">
        <v>0</v>
      </c>
      <c r="V50" s="234">
        <v>0</v>
      </c>
      <c r="W50" s="234">
        <v>0</v>
      </c>
      <c r="X50" s="253"/>
      <c r="Y50" s="260">
        <v>0</v>
      </c>
      <c r="Z50" s="261">
        <v>0</v>
      </c>
      <c r="AA50" s="261">
        <v>3</v>
      </c>
      <c r="AB50" s="346">
        <v>0</v>
      </c>
      <c r="AC50" s="21"/>
    </row>
    <row r="51" spans="3:29" x14ac:dyDescent="0.4">
      <c r="C51" s="22" t="s">
        <v>1242</v>
      </c>
      <c r="D51" s="22" t="s">
        <v>1162</v>
      </c>
      <c r="E51" s="22"/>
      <c r="F51" s="22"/>
      <c r="G51" s="22"/>
      <c r="H51" s="24" t="s">
        <v>1280</v>
      </c>
      <c r="I51" s="23"/>
      <c r="J51" s="37">
        <v>43731</v>
      </c>
      <c r="K51" s="235">
        <v>43731</v>
      </c>
      <c r="L51" s="24">
        <v>0</v>
      </c>
      <c r="M51" s="24">
        <v>0</v>
      </c>
      <c r="N51" s="236">
        <v>0.27222222222222225</v>
      </c>
      <c r="O51" s="236">
        <v>0.72777777777777775</v>
      </c>
      <c r="P51" s="237">
        <v>0</v>
      </c>
      <c r="Q51" s="237">
        <v>0</v>
      </c>
      <c r="R51" s="237">
        <v>0</v>
      </c>
      <c r="S51" s="237">
        <v>0</v>
      </c>
      <c r="T51" s="238">
        <v>0</v>
      </c>
      <c r="U51" s="238">
        <v>0</v>
      </c>
      <c r="V51" s="239">
        <v>0</v>
      </c>
      <c r="W51" s="239">
        <v>0</v>
      </c>
      <c r="X51" s="237"/>
      <c r="Y51" s="240">
        <v>0</v>
      </c>
      <c r="Z51" s="225">
        <v>0</v>
      </c>
      <c r="AA51" s="225">
        <v>3</v>
      </c>
      <c r="AB51" s="344">
        <v>0</v>
      </c>
      <c r="AC51" s="21"/>
    </row>
    <row r="52" spans="3:29" x14ac:dyDescent="0.4">
      <c r="C52" s="34" t="s">
        <v>1243</v>
      </c>
      <c r="D52" s="34" t="s">
        <v>1244</v>
      </c>
      <c r="E52" s="34"/>
      <c r="F52" s="34"/>
      <c r="G52" s="34"/>
      <c r="H52" s="339" t="s">
        <v>1281</v>
      </c>
      <c r="I52" s="35"/>
      <c r="J52" s="37">
        <v>43733</v>
      </c>
      <c r="K52" s="231">
        <v>43733</v>
      </c>
      <c r="L52" s="33">
        <v>0</v>
      </c>
      <c r="M52" s="28">
        <v>0</v>
      </c>
      <c r="N52" s="249">
        <v>0.26666666666666661</v>
      </c>
      <c r="O52" s="249">
        <v>0.73333333333333339</v>
      </c>
      <c r="P52" s="232">
        <v>0</v>
      </c>
      <c r="Q52" s="232">
        <v>0</v>
      </c>
      <c r="R52" s="232">
        <v>0</v>
      </c>
      <c r="S52" s="232">
        <v>0</v>
      </c>
      <c r="T52" s="233">
        <v>0</v>
      </c>
      <c r="U52" s="233">
        <v>0</v>
      </c>
      <c r="V52" s="234">
        <v>0</v>
      </c>
      <c r="W52" s="234">
        <v>0</v>
      </c>
      <c r="X52" s="253"/>
      <c r="Y52" s="260">
        <v>0</v>
      </c>
      <c r="Z52" s="261">
        <v>0</v>
      </c>
      <c r="AA52" s="261">
        <v>3</v>
      </c>
      <c r="AB52" s="346">
        <v>0</v>
      </c>
      <c r="AC52" s="21"/>
    </row>
    <row r="53" spans="3:29" x14ac:dyDescent="0.4">
      <c r="C53" s="22" t="s">
        <v>1245</v>
      </c>
      <c r="D53" s="22" t="s">
        <v>1246</v>
      </c>
      <c r="E53" s="22"/>
      <c r="F53" s="22"/>
      <c r="G53" s="22"/>
      <c r="H53" s="24" t="s">
        <v>1280</v>
      </c>
      <c r="I53" s="23"/>
      <c r="J53" s="37">
        <v>43755</v>
      </c>
      <c r="K53" s="235">
        <v>43755</v>
      </c>
      <c r="L53" s="24">
        <v>0</v>
      </c>
      <c r="M53" s="24">
        <v>0</v>
      </c>
      <c r="N53" s="236">
        <v>0.206989247311828</v>
      </c>
      <c r="O53" s="236">
        <v>0.793010752688172</v>
      </c>
      <c r="P53" s="237">
        <v>0</v>
      </c>
      <c r="Q53" s="237">
        <v>0</v>
      </c>
      <c r="R53" s="237">
        <v>0</v>
      </c>
      <c r="S53" s="237">
        <v>0</v>
      </c>
      <c r="T53" s="238">
        <v>0</v>
      </c>
      <c r="U53" s="238">
        <v>0</v>
      </c>
      <c r="V53" s="239">
        <v>0</v>
      </c>
      <c r="W53" s="239">
        <v>0</v>
      </c>
      <c r="X53" s="237"/>
      <c r="Y53" s="240">
        <v>0</v>
      </c>
      <c r="Z53" s="225">
        <v>0</v>
      </c>
      <c r="AA53" s="225">
        <v>3</v>
      </c>
      <c r="AB53" s="344">
        <v>0</v>
      </c>
      <c r="AC53" s="21"/>
    </row>
    <row r="54" spans="3:29" x14ac:dyDescent="0.4">
      <c r="C54" s="34" t="s">
        <v>1247</v>
      </c>
      <c r="D54" s="34" t="s">
        <v>1248</v>
      </c>
      <c r="E54" s="34"/>
      <c r="F54" s="34"/>
      <c r="G54" s="34"/>
      <c r="H54" s="339" t="s">
        <v>1280</v>
      </c>
      <c r="I54" s="35"/>
      <c r="J54" s="37">
        <v>43770</v>
      </c>
      <c r="K54" s="231">
        <v>43770</v>
      </c>
      <c r="L54" s="33">
        <v>0</v>
      </c>
      <c r="M54" s="28">
        <v>0</v>
      </c>
      <c r="N54" s="249">
        <v>0.16666666666666663</v>
      </c>
      <c r="O54" s="249">
        <v>0.83333333333333337</v>
      </c>
      <c r="P54" s="232">
        <v>0</v>
      </c>
      <c r="Q54" s="232">
        <v>0</v>
      </c>
      <c r="R54" s="232">
        <v>0</v>
      </c>
      <c r="S54" s="232">
        <v>0</v>
      </c>
      <c r="T54" s="233">
        <v>0</v>
      </c>
      <c r="U54" s="233">
        <v>0</v>
      </c>
      <c r="V54" s="234">
        <v>0</v>
      </c>
      <c r="W54" s="234">
        <v>0</v>
      </c>
      <c r="X54" s="253"/>
      <c r="Y54" s="260">
        <v>0</v>
      </c>
      <c r="Z54" s="261">
        <v>0</v>
      </c>
      <c r="AA54" s="261">
        <v>3</v>
      </c>
      <c r="AB54" s="346">
        <v>0</v>
      </c>
      <c r="AC54" s="21"/>
    </row>
    <row r="55" spans="3:29" x14ac:dyDescent="0.4">
      <c r="C55" s="22" t="s">
        <v>1249</v>
      </c>
      <c r="D55" s="22" t="s">
        <v>1250</v>
      </c>
      <c r="E55" s="22"/>
      <c r="F55" s="22"/>
      <c r="G55" s="22"/>
      <c r="H55" s="24" t="s">
        <v>1283</v>
      </c>
      <c r="I55" s="23"/>
      <c r="J55" s="37">
        <v>43770</v>
      </c>
      <c r="K55" s="235">
        <v>43770</v>
      </c>
      <c r="L55" s="24">
        <v>0</v>
      </c>
      <c r="M55" s="24">
        <v>0</v>
      </c>
      <c r="N55" s="236">
        <v>0.16666666666666663</v>
      </c>
      <c r="O55" s="236">
        <v>0.83333333333333337</v>
      </c>
      <c r="P55" s="237">
        <v>0</v>
      </c>
      <c r="Q55" s="237">
        <v>0</v>
      </c>
      <c r="R55" s="237">
        <v>0</v>
      </c>
      <c r="S55" s="237">
        <v>0</v>
      </c>
      <c r="T55" s="238">
        <v>0</v>
      </c>
      <c r="U55" s="238">
        <v>0</v>
      </c>
      <c r="V55" s="239">
        <v>0</v>
      </c>
      <c r="W55" s="239">
        <v>0</v>
      </c>
      <c r="X55" s="237"/>
      <c r="Y55" s="240">
        <v>0</v>
      </c>
      <c r="Z55" s="225">
        <v>0</v>
      </c>
      <c r="AA55" s="225">
        <v>3</v>
      </c>
      <c r="AB55" s="344">
        <v>0</v>
      </c>
      <c r="AC55" s="21"/>
    </row>
    <row r="56" spans="3:29" x14ac:dyDescent="0.4">
      <c r="C56" s="34" t="s">
        <v>1251</v>
      </c>
      <c r="D56" s="34" t="s">
        <v>1252</v>
      </c>
      <c r="E56" s="34"/>
      <c r="F56" s="34"/>
      <c r="G56" s="34"/>
      <c r="H56" s="339" t="s">
        <v>1283</v>
      </c>
      <c r="I56" s="35"/>
      <c r="J56" s="37">
        <v>43770</v>
      </c>
      <c r="K56" s="231">
        <v>43770</v>
      </c>
      <c r="L56" s="33">
        <v>0</v>
      </c>
      <c r="M56" s="28">
        <v>0</v>
      </c>
      <c r="N56" s="249">
        <v>0.16666666666666663</v>
      </c>
      <c r="O56" s="249">
        <v>0.83333333333333337</v>
      </c>
      <c r="P56" s="232">
        <v>0</v>
      </c>
      <c r="Q56" s="232">
        <v>0</v>
      </c>
      <c r="R56" s="232">
        <v>0</v>
      </c>
      <c r="S56" s="232">
        <v>0</v>
      </c>
      <c r="T56" s="233">
        <v>0</v>
      </c>
      <c r="U56" s="233">
        <v>0</v>
      </c>
      <c r="V56" s="234">
        <v>0</v>
      </c>
      <c r="W56" s="234">
        <v>0</v>
      </c>
      <c r="X56" s="253"/>
      <c r="Y56" s="260">
        <v>0</v>
      </c>
      <c r="Z56" s="261">
        <v>0</v>
      </c>
      <c r="AA56" s="261">
        <v>3</v>
      </c>
      <c r="AB56" s="346">
        <v>0</v>
      </c>
      <c r="AC56" s="21"/>
    </row>
    <row r="57" spans="3:29" x14ac:dyDescent="0.4">
      <c r="C57" s="22" t="s">
        <v>1253</v>
      </c>
      <c r="D57" s="22" t="s">
        <v>1254</v>
      </c>
      <c r="E57" s="22"/>
      <c r="F57" s="22"/>
      <c r="G57" s="22"/>
      <c r="H57" s="24" t="s">
        <v>1290</v>
      </c>
      <c r="I57" s="23"/>
      <c r="J57" s="37">
        <v>43790</v>
      </c>
      <c r="K57" s="235">
        <v>43790</v>
      </c>
      <c r="L57" s="24">
        <v>0</v>
      </c>
      <c r="M57" s="24">
        <v>0</v>
      </c>
      <c r="N57" s="236">
        <v>0.11111111111111116</v>
      </c>
      <c r="O57" s="236">
        <v>0.88888888888888884</v>
      </c>
      <c r="P57" s="237">
        <v>0</v>
      </c>
      <c r="Q57" s="237">
        <v>0</v>
      </c>
      <c r="R57" s="237">
        <v>0</v>
      </c>
      <c r="S57" s="237">
        <v>0</v>
      </c>
      <c r="T57" s="238">
        <v>0</v>
      </c>
      <c r="U57" s="238">
        <v>0</v>
      </c>
      <c r="V57" s="239">
        <v>0</v>
      </c>
      <c r="W57" s="239">
        <v>0</v>
      </c>
      <c r="X57" s="237"/>
      <c r="Y57" s="240">
        <v>0</v>
      </c>
      <c r="Z57" s="225">
        <v>0</v>
      </c>
      <c r="AA57" s="225">
        <v>3</v>
      </c>
      <c r="AB57" s="344">
        <v>0</v>
      </c>
      <c r="AC57" s="21"/>
    </row>
    <row r="58" spans="3:29" x14ac:dyDescent="0.4">
      <c r="C58" s="34" t="s">
        <v>1255</v>
      </c>
      <c r="D58" s="34" t="s">
        <v>1256</v>
      </c>
      <c r="E58" s="34"/>
      <c r="F58" s="34"/>
      <c r="G58" s="34"/>
      <c r="H58" s="339" t="s">
        <v>1291</v>
      </c>
      <c r="I58" s="35"/>
      <c r="J58" s="37">
        <v>43790</v>
      </c>
      <c r="K58" s="231">
        <v>43790</v>
      </c>
      <c r="L58" s="33">
        <v>0</v>
      </c>
      <c r="M58" s="28">
        <v>0</v>
      </c>
      <c r="N58" s="249">
        <v>0.11111111111111116</v>
      </c>
      <c r="O58" s="249">
        <v>0.88888888888888884</v>
      </c>
      <c r="P58" s="232">
        <v>0</v>
      </c>
      <c r="Q58" s="232">
        <v>0</v>
      </c>
      <c r="R58" s="232">
        <v>0</v>
      </c>
      <c r="S58" s="232">
        <v>0</v>
      </c>
      <c r="T58" s="233">
        <v>0</v>
      </c>
      <c r="U58" s="233">
        <v>0</v>
      </c>
      <c r="V58" s="234">
        <v>0</v>
      </c>
      <c r="W58" s="234">
        <v>0</v>
      </c>
      <c r="X58" s="253"/>
      <c r="Y58" s="260">
        <v>0</v>
      </c>
      <c r="Z58" s="261">
        <v>0</v>
      </c>
      <c r="AA58" s="261">
        <v>3</v>
      </c>
      <c r="AB58" s="346">
        <v>0</v>
      </c>
      <c r="AC58" s="21"/>
    </row>
    <row r="59" spans="3:29" x14ac:dyDescent="0.4">
      <c r="C59" s="22" t="s">
        <v>1257</v>
      </c>
      <c r="D59" s="22" t="s">
        <v>1258</v>
      </c>
      <c r="E59" s="22"/>
      <c r="F59" s="22"/>
      <c r="G59" s="22"/>
      <c r="H59" s="24" t="s">
        <v>1292</v>
      </c>
      <c r="I59" s="23"/>
      <c r="J59" s="37">
        <v>43801</v>
      </c>
      <c r="K59" s="235">
        <v>43801</v>
      </c>
      <c r="L59" s="24">
        <v>0</v>
      </c>
      <c r="M59" s="24">
        <v>0</v>
      </c>
      <c r="N59" s="236">
        <v>8.0645161290322509E-2</v>
      </c>
      <c r="O59" s="236">
        <v>0.91935483870967749</v>
      </c>
      <c r="P59" s="237">
        <v>0</v>
      </c>
      <c r="Q59" s="237">
        <v>0</v>
      </c>
      <c r="R59" s="237">
        <v>0</v>
      </c>
      <c r="S59" s="237">
        <v>0</v>
      </c>
      <c r="T59" s="238">
        <v>0</v>
      </c>
      <c r="U59" s="238">
        <v>0</v>
      </c>
      <c r="V59" s="239">
        <v>0</v>
      </c>
      <c r="W59" s="239">
        <v>0</v>
      </c>
      <c r="X59" s="237"/>
      <c r="Y59" s="240">
        <v>0</v>
      </c>
      <c r="Z59" s="225">
        <v>0</v>
      </c>
      <c r="AA59" s="225">
        <v>3</v>
      </c>
      <c r="AB59" s="344">
        <v>0</v>
      </c>
      <c r="AC59" s="21"/>
    </row>
    <row r="60" spans="3:29" x14ac:dyDescent="0.4">
      <c r="C60" s="34" t="s">
        <v>1259</v>
      </c>
      <c r="D60" s="34" t="s">
        <v>1260</v>
      </c>
      <c r="E60" s="34"/>
      <c r="F60" s="34"/>
      <c r="G60" s="34"/>
      <c r="H60" s="339" t="s">
        <v>1280</v>
      </c>
      <c r="I60" s="35"/>
      <c r="J60" s="37">
        <v>43804</v>
      </c>
      <c r="K60" s="231">
        <v>43804</v>
      </c>
      <c r="L60" s="33">
        <v>0</v>
      </c>
      <c r="M60" s="28">
        <v>0</v>
      </c>
      <c r="N60" s="249">
        <v>7.2580645161290369E-2</v>
      </c>
      <c r="O60" s="249">
        <v>0.92741935483870963</v>
      </c>
      <c r="P60" s="232">
        <v>0</v>
      </c>
      <c r="Q60" s="232">
        <v>0</v>
      </c>
      <c r="R60" s="232">
        <v>0</v>
      </c>
      <c r="S60" s="232">
        <v>0</v>
      </c>
      <c r="T60" s="233">
        <v>0</v>
      </c>
      <c r="U60" s="233">
        <v>0</v>
      </c>
      <c r="V60" s="234">
        <v>0</v>
      </c>
      <c r="W60" s="234">
        <v>0</v>
      </c>
      <c r="X60" s="253"/>
      <c r="Y60" s="260">
        <v>0</v>
      </c>
      <c r="Z60" s="261">
        <v>0</v>
      </c>
      <c r="AA60" s="261">
        <v>3</v>
      </c>
      <c r="AB60" s="346">
        <v>0</v>
      </c>
      <c r="AC60" s="21"/>
    </row>
    <row r="61" spans="3:29" x14ac:dyDescent="0.4">
      <c r="C61" s="22" t="s">
        <v>1261</v>
      </c>
      <c r="D61" s="22" t="s">
        <v>1262</v>
      </c>
      <c r="E61" s="22"/>
      <c r="F61" s="22"/>
      <c r="G61" s="22"/>
      <c r="H61" s="24" t="s">
        <v>1280</v>
      </c>
      <c r="I61" s="23"/>
      <c r="J61" s="37">
        <v>43819</v>
      </c>
      <c r="K61" s="235">
        <v>43819</v>
      </c>
      <c r="L61" s="24">
        <v>0</v>
      </c>
      <c r="M61" s="24">
        <v>0</v>
      </c>
      <c r="N61" s="236">
        <v>3.2258064516129004E-2</v>
      </c>
      <c r="O61" s="236">
        <v>0.967741935483871</v>
      </c>
      <c r="P61" s="237">
        <v>0</v>
      </c>
      <c r="Q61" s="237">
        <v>0</v>
      </c>
      <c r="R61" s="237">
        <v>0</v>
      </c>
      <c r="S61" s="237">
        <v>0</v>
      </c>
      <c r="T61" s="238">
        <v>0</v>
      </c>
      <c r="U61" s="238">
        <v>0</v>
      </c>
      <c r="V61" s="239">
        <v>0</v>
      </c>
      <c r="W61" s="239">
        <v>0</v>
      </c>
      <c r="X61" s="237"/>
      <c r="Y61" s="240">
        <v>0</v>
      </c>
      <c r="Z61" s="225">
        <v>0</v>
      </c>
      <c r="AA61" s="225">
        <v>3</v>
      </c>
      <c r="AB61" s="344">
        <v>0</v>
      </c>
      <c r="AC61" s="21"/>
    </row>
    <row r="62" spans="3:29" x14ac:dyDescent="0.4">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row>
    <row r="63" spans="3:29" x14ac:dyDescent="0.4">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3:29" x14ac:dyDescent="0.4">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row>
    <row r="65" spans="3:29" x14ac:dyDescent="0.4">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row>
    <row r="66" spans="3:29" x14ac:dyDescent="0.4">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row>
  </sheetData>
  <sheetProtection algorithmName="SHA-512" hashValue="WdDAJx8+YhZTxoAdu3po0RImzydppzdZ046xCWpElPi7fd0nkLYg+jem7w3zZGw66ViHPIudX4qZSbW1jCPKIQ==" saltValue="TnskGc/z+uTSGa1zggTCSA==" spinCount="100000" sheet="1" objects="1" scenarios="1" formatCells="0" autoFilter="0"/>
  <mergeCells count="10">
    <mergeCell ref="Y3:AB4"/>
    <mergeCell ref="C3:G3"/>
    <mergeCell ref="L3:M3"/>
    <mergeCell ref="N3:O3"/>
    <mergeCell ref="X3:X4"/>
    <mergeCell ref="L4:M4"/>
    <mergeCell ref="N4:N5"/>
    <mergeCell ref="O4:O5"/>
    <mergeCell ref="P4:S4"/>
    <mergeCell ref="T4:W4"/>
  </mergeCells>
  <phoneticPr fontId="1" type="noConversion"/>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2:B5"/>
  <sheetViews>
    <sheetView workbookViewId="0">
      <selection activeCell="J13" sqref="I13:J13"/>
    </sheetView>
  </sheetViews>
  <sheetFormatPr defaultRowHeight="17" x14ac:dyDescent="0.4"/>
  <sheetData>
    <row r="2" spans="1:2" ht="18" x14ac:dyDescent="0.4">
      <c r="B2" s="54" t="s">
        <v>106</v>
      </c>
    </row>
    <row r="3" spans="1:2" ht="19.5" x14ac:dyDescent="0.4">
      <c r="A3" s="56" t="s">
        <v>109</v>
      </c>
      <c r="B3" s="55" t="s">
        <v>108</v>
      </c>
    </row>
    <row r="4" spans="1:2" ht="19.5" x14ac:dyDescent="0.4">
      <c r="B4" s="55" t="s">
        <v>110</v>
      </c>
    </row>
    <row r="5" spans="1:2" ht="19.5" x14ac:dyDescent="0.4">
      <c r="B5" s="55" t="s">
        <v>107</v>
      </c>
    </row>
  </sheetData>
  <sheetProtection algorithmName="SHA-512" hashValue="36vf+pc3i9+HElZ2HDaF5r2MXv3QIf6tpp+TY1A1fXAnl5Z6j0wZz+qEiSGrci8/kOi93JlCoZ0bJE8zrqpPiA==" saltValue="ChNRzDda8IyrMf3iuVLDgw==" spinCount="100000" sheet="1" objects="1" scenarios="1" formatCells="0" autoFilter="0"/>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670"/>
  <sheetViews>
    <sheetView showGridLines="0" topLeftCell="A482" zoomScale="130" zoomScaleNormal="130" workbookViewId="0">
      <selection activeCell="B648" sqref="B648"/>
    </sheetView>
  </sheetViews>
  <sheetFormatPr defaultRowHeight="17" x14ac:dyDescent="0.4"/>
  <cols>
    <col min="1" max="1" width="12.81640625" customWidth="1"/>
    <col min="2" max="2" width="89.81640625" customWidth="1"/>
    <col min="3" max="3" width="57" customWidth="1"/>
    <col min="4" max="4" width="81.90625" customWidth="1"/>
  </cols>
  <sheetData>
    <row r="1" spans="1:2" ht="19" thickBot="1" x14ac:dyDescent="0.45">
      <c r="A1" s="299"/>
      <c r="B1" s="300" t="s">
        <v>503</v>
      </c>
    </row>
    <row r="2" spans="1:2" ht="19" thickBot="1" x14ac:dyDescent="0.45">
      <c r="A2" s="299"/>
      <c r="B2" s="300" t="s">
        <v>504</v>
      </c>
    </row>
    <row r="3" spans="1:2" ht="18.5" x14ac:dyDescent="0.4">
      <c r="A3" s="299"/>
      <c r="B3" s="300" t="s">
        <v>505</v>
      </c>
    </row>
    <row r="4" spans="1:2" ht="18.5" x14ac:dyDescent="0.4">
      <c r="A4" s="299"/>
      <c r="B4" s="301" t="s">
        <v>255</v>
      </c>
    </row>
    <row r="5" spans="1:2" ht="18" x14ac:dyDescent="0.4">
      <c r="A5" s="299"/>
      <c r="B5" s="302" t="s">
        <v>10</v>
      </c>
    </row>
    <row r="6" spans="1:2" ht="18" x14ac:dyDescent="0.4">
      <c r="A6" s="299" t="str">
        <f>IF(LEFT(B5,1)="第",B5,"")</f>
        <v>第 1 條</v>
      </c>
      <c r="B6" s="302" t="s">
        <v>506</v>
      </c>
    </row>
    <row r="7" spans="1:2" ht="18" x14ac:dyDescent="0.4">
      <c r="A7" s="299" t="str">
        <f t="shared" ref="A7:A70" si="0">IF(LEFT(B6,1)="第",B6,"")</f>
        <v/>
      </c>
      <c r="B7" s="302" t="s">
        <v>507</v>
      </c>
    </row>
    <row r="8" spans="1:2" ht="18" x14ac:dyDescent="0.4">
      <c r="A8" s="299" t="str">
        <f t="shared" si="0"/>
        <v/>
      </c>
      <c r="B8" s="302" t="s">
        <v>508</v>
      </c>
    </row>
    <row r="9" spans="1:2" ht="18" x14ac:dyDescent="0.4">
      <c r="A9" s="299" t="str">
        <f t="shared" si="0"/>
        <v/>
      </c>
      <c r="B9" s="302" t="s">
        <v>11</v>
      </c>
    </row>
    <row r="10" spans="1:2" ht="18" x14ac:dyDescent="0.4">
      <c r="A10" s="299" t="str">
        <f t="shared" si="0"/>
        <v>第 2 條</v>
      </c>
      <c r="B10" s="302" t="s">
        <v>509</v>
      </c>
    </row>
    <row r="11" spans="1:2" ht="18" x14ac:dyDescent="0.4">
      <c r="A11" s="299" t="str">
        <f t="shared" si="0"/>
        <v/>
      </c>
      <c r="B11" s="302" t="s">
        <v>510</v>
      </c>
    </row>
    <row r="12" spans="1:2" ht="18" x14ac:dyDescent="0.4">
      <c r="A12" s="299" t="str">
        <f t="shared" si="0"/>
        <v/>
      </c>
      <c r="B12" s="302" t="s">
        <v>511</v>
      </c>
    </row>
    <row r="13" spans="1:2" ht="18" x14ac:dyDescent="0.4">
      <c r="A13" s="299" t="str">
        <f t="shared" si="0"/>
        <v/>
      </c>
      <c r="B13" s="302" t="s">
        <v>512</v>
      </c>
    </row>
    <row r="14" spans="1:2" ht="18" x14ac:dyDescent="0.4">
      <c r="A14" s="299" t="str">
        <f t="shared" si="0"/>
        <v/>
      </c>
      <c r="B14" s="302" t="s">
        <v>513</v>
      </c>
    </row>
    <row r="15" spans="1:2" ht="18" x14ac:dyDescent="0.4">
      <c r="A15" s="299" t="str">
        <f t="shared" si="0"/>
        <v/>
      </c>
      <c r="B15" s="302" t="s">
        <v>514</v>
      </c>
    </row>
    <row r="16" spans="1:2" ht="18" x14ac:dyDescent="0.4">
      <c r="A16" s="299" t="str">
        <f t="shared" si="0"/>
        <v/>
      </c>
      <c r="B16" s="302" t="s">
        <v>515</v>
      </c>
    </row>
    <row r="17" spans="1:2" ht="18" x14ac:dyDescent="0.4">
      <c r="A17" s="299" t="str">
        <f t="shared" si="0"/>
        <v/>
      </c>
      <c r="B17" s="302" t="s">
        <v>516</v>
      </c>
    </row>
    <row r="18" spans="1:2" ht="18" x14ac:dyDescent="0.4">
      <c r="A18" s="299" t="str">
        <f t="shared" si="0"/>
        <v/>
      </c>
      <c r="B18" s="302" t="s">
        <v>517</v>
      </c>
    </row>
    <row r="19" spans="1:2" ht="18" x14ac:dyDescent="0.4">
      <c r="A19" s="299" t="str">
        <f t="shared" si="0"/>
        <v/>
      </c>
      <c r="B19" s="302" t="s">
        <v>518</v>
      </c>
    </row>
    <row r="20" spans="1:2" ht="18" x14ac:dyDescent="0.4">
      <c r="A20" s="299" t="str">
        <f t="shared" si="0"/>
        <v/>
      </c>
      <c r="B20" s="302" t="s">
        <v>519</v>
      </c>
    </row>
    <row r="21" spans="1:2" ht="18" x14ac:dyDescent="0.4">
      <c r="A21" s="299" t="str">
        <f t="shared" si="0"/>
        <v/>
      </c>
      <c r="B21" s="302" t="s">
        <v>520</v>
      </c>
    </row>
    <row r="22" spans="1:2" ht="18" x14ac:dyDescent="0.4">
      <c r="A22" s="299" t="str">
        <f t="shared" si="0"/>
        <v/>
      </c>
      <c r="B22" s="302" t="s">
        <v>521</v>
      </c>
    </row>
    <row r="23" spans="1:2" ht="18" x14ac:dyDescent="0.4">
      <c r="A23" s="299" t="str">
        <f t="shared" si="0"/>
        <v/>
      </c>
      <c r="B23" s="302" t="s">
        <v>522</v>
      </c>
    </row>
    <row r="24" spans="1:2" ht="18" x14ac:dyDescent="0.4">
      <c r="A24" s="299" t="str">
        <f t="shared" si="0"/>
        <v/>
      </c>
      <c r="B24" s="302" t="s">
        <v>12</v>
      </c>
    </row>
    <row r="25" spans="1:2" ht="18" x14ac:dyDescent="0.4">
      <c r="A25" s="299" t="str">
        <f t="shared" si="0"/>
        <v>第 3 條</v>
      </c>
      <c r="B25" s="302" t="s">
        <v>523</v>
      </c>
    </row>
    <row r="26" spans="1:2" ht="18" x14ac:dyDescent="0.4">
      <c r="A26" s="299" t="str">
        <f t="shared" si="0"/>
        <v/>
      </c>
      <c r="B26" s="302" t="s">
        <v>524</v>
      </c>
    </row>
    <row r="27" spans="1:2" ht="18" x14ac:dyDescent="0.4">
      <c r="A27" s="299" t="str">
        <f t="shared" si="0"/>
        <v/>
      </c>
      <c r="B27" s="302" t="s">
        <v>525</v>
      </c>
    </row>
    <row r="28" spans="1:2" ht="18" x14ac:dyDescent="0.4">
      <c r="A28" s="299" t="str">
        <f t="shared" si="0"/>
        <v/>
      </c>
      <c r="B28" s="302" t="s">
        <v>526</v>
      </c>
    </row>
    <row r="29" spans="1:2" ht="18" x14ac:dyDescent="0.4">
      <c r="A29" s="299" t="str">
        <f t="shared" si="0"/>
        <v/>
      </c>
      <c r="B29" s="302" t="s">
        <v>527</v>
      </c>
    </row>
    <row r="30" spans="1:2" ht="18" x14ac:dyDescent="0.4">
      <c r="A30" s="299" t="str">
        <f t="shared" si="0"/>
        <v/>
      </c>
      <c r="B30" s="302" t="s">
        <v>528</v>
      </c>
    </row>
    <row r="31" spans="1:2" ht="18" x14ac:dyDescent="0.4">
      <c r="A31" s="299" t="str">
        <f t="shared" si="0"/>
        <v/>
      </c>
      <c r="B31" s="302" t="s">
        <v>529</v>
      </c>
    </row>
    <row r="32" spans="1:2" ht="18" x14ac:dyDescent="0.4">
      <c r="A32" s="299" t="str">
        <f t="shared" si="0"/>
        <v/>
      </c>
      <c r="B32" s="302" t="s">
        <v>530</v>
      </c>
    </row>
    <row r="33" spans="1:2" ht="18" x14ac:dyDescent="0.4">
      <c r="A33" s="299" t="str">
        <f t="shared" si="0"/>
        <v/>
      </c>
      <c r="B33" s="302" t="s">
        <v>531</v>
      </c>
    </row>
    <row r="34" spans="1:2" ht="18" x14ac:dyDescent="0.4">
      <c r="A34" s="299" t="str">
        <f t="shared" si="0"/>
        <v/>
      </c>
      <c r="B34" s="302" t="s">
        <v>532</v>
      </c>
    </row>
    <row r="35" spans="1:2" ht="18" x14ac:dyDescent="0.4">
      <c r="A35" s="299" t="str">
        <f t="shared" si="0"/>
        <v/>
      </c>
      <c r="B35" s="302" t="s">
        <v>533</v>
      </c>
    </row>
    <row r="36" spans="1:2" ht="18" x14ac:dyDescent="0.4">
      <c r="A36" s="299" t="str">
        <f t="shared" si="0"/>
        <v/>
      </c>
      <c r="B36" s="302" t="s">
        <v>534</v>
      </c>
    </row>
    <row r="37" spans="1:2" ht="18" x14ac:dyDescent="0.4">
      <c r="A37" s="299" t="str">
        <f t="shared" si="0"/>
        <v/>
      </c>
      <c r="B37" s="302" t="s">
        <v>535</v>
      </c>
    </row>
    <row r="38" spans="1:2" ht="18" x14ac:dyDescent="0.4">
      <c r="A38" s="299" t="str">
        <f t="shared" si="0"/>
        <v/>
      </c>
      <c r="B38" s="302" t="s">
        <v>536</v>
      </c>
    </row>
    <row r="39" spans="1:2" ht="18" x14ac:dyDescent="0.4">
      <c r="A39" s="299" t="str">
        <f t="shared" si="0"/>
        <v/>
      </c>
      <c r="B39" s="302" t="s">
        <v>537</v>
      </c>
    </row>
    <row r="40" spans="1:2" ht="18" x14ac:dyDescent="0.4">
      <c r="A40" s="299" t="str">
        <f t="shared" si="0"/>
        <v/>
      </c>
      <c r="B40" s="302" t="s">
        <v>13</v>
      </c>
    </row>
    <row r="41" spans="1:2" ht="18" x14ac:dyDescent="0.4">
      <c r="A41" s="299" t="str">
        <f t="shared" si="0"/>
        <v>第 4 條</v>
      </c>
      <c r="B41" s="302" t="s">
        <v>538</v>
      </c>
    </row>
    <row r="42" spans="1:2" ht="18" x14ac:dyDescent="0.4">
      <c r="A42" s="299" t="str">
        <f t="shared" si="0"/>
        <v/>
      </c>
      <c r="B42" s="302" t="s">
        <v>539</v>
      </c>
    </row>
    <row r="43" spans="1:2" ht="18" x14ac:dyDescent="0.4">
      <c r="A43" s="299" t="str">
        <f t="shared" si="0"/>
        <v/>
      </c>
      <c r="B43" s="302" t="s">
        <v>14</v>
      </c>
    </row>
    <row r="44" spans="1:2" ht="18" x14ac:dyDescent="0.4">
      <c r="A44" s="299" t="str">
        <f t="shared" si="0"/>
        <v>第 5 條</v>
      </c>
      <c r="B44" s="302" t="s">
        <v>540</v>
      </c>
    </row>
    <row r="45" spans="1:2" ht="18" x14ac:dyDescent="0.4">
      <c r="A45" s="299" t="str">
        <f t="shared" si="0"/>
        <v/>
      </c>
      <c r="B45" s="302" t="s">
        <v>15</v>
      </c>
    </row>
    <row r="46" spans="1:2" ht="18" x14ac:dyDescent="0.4">
      <c r="A46" s="299" t="str">
        <f t="shared" si="0"/>
        <v>第 6 條</v>
      </c>
      <c r="B46" s="302" t="s">
        <v>541</v>
      </c>
    </row>
    <row r="47" spans="1:2" ht="18" x14ac:dyDescent="0.4">
      <c r="A47" s="299" t="str">
        <f t="shared" si="0"/>
        <v/>
      </c>
      <c r="B47" s="302" t="s">
        <v>16</v>
      </c>
    </row>
    <row r="48" spans="1:2" ht="18" x14ac:dyDescent="0.4">
      <c r="A48" s="299" t="str">
        <f t="shared" si="0"/>
        <v>第 7 條</v>
      </c>
      <c r="B48" s="302" t="s">
        <v>542</v>
      </c>
    </row>
    <row r="49" spans="1:2" ht="18" x14ac:dyDescent="0.4">
      <c r="A49" s="299" t="str">
        <f t="shared" si="0"/>
        <v/>
      </c>
      <c r="B49" s="302" t="s">
        <v>543</v>
      </c>
    </row>
    <row r="50" spans="1:2" ht="18" x14ac:dyDescent="0.4">
      <c r="A50" s="299" t="str">
        <f t="shared" si="0"/>
        <v/>
      </c>
      <c r="B50" s="302" t="s">
        <v>544</v>
      </c>
    </row>
    <row r="51" spans="1:2" ht="18" x14ac:dyDescent="0.4">
      <c r="A51" s="299" t="str">
        <f t="shared" si="0"/>
        <v/>
      </c>
      <c r="B51" s="302" t="s">
        <v>545</v>
      </c>
    </row>
    <row r="52" spans="1:2" ht="18" x14ac:dyDescent="0.4">
      <c r="A52" s="299" t="str">
        <f t="shared" si="0"/>
        <v/>
      </c>
      <c r="B52" s="302" t="s">
        <v>17</v>
      </c>
    </row>
    <row r="53" spans="1:2" ht="18" x14ac:dyDescent="0.4">
      <c r="A53" s="299" t="str">
        <f t="shared" si="0"/>
        <v>第 8 條</v>
      </c>
      <c r="B53" s="302" t="s">
        <v>546</v>
      </c>
    </row>
    <row r="54" spans="1:2" ht="18" x14ac:dyDescent="0.4">
      <c r="A54" s="299" t="str">
        <f t="shared" si="0"/>
        <v/>
      </c>
      <c r="B54" s="302" t="s">
        <v>547</v>
      </c>
    </row>
    <row r="55" spans="1:2" ht="18.5" x14ac:dyDescent="0.4">
      <c r="A55" s="299" t="str">
        <f t="shared" si="0"/>
        <v/>
      </c>
      <c r="B55" s="301" t="s">
        <v>272</v>
      </c>
    </row>
    <row r="56" spans="1:2" ht="18" x14ac:dyDescent="0.4">
      <c r="A56" s="299"/>
      <c r="B56" s="302" t="s">
        <v>18</v>
      </c>
    </row>
    <row r="57" spans="1:2" ht="18" x14ac:dyDescent="0.4">
      <c r="A57" s="299" t="str">
        <f t="shared" si="0"/>
        <v>第 9 條</v>
      </c>
      <c r="B57" s="302" t="s">
        <v>548</v>
      </c>
    </row>
    <row r="58" spans="1:2" ht="18" x14ac:dyDescent="0.4">
      <c r="A58" s="299" t="str">
        <f t="shared" si="0"/>
        <v/>
      </c>
      <c r="B58" s="302" t="s">
        <v>549</v>
      </c>
    </row>
    <row r="59" spans="1:2" ht="18" x14ac:dyDescent="0.4">
      <c r="A59" s="299" t="str">
        <f t="shared" si="0"/>
        <v/>
      </c>
      <c r="B59" s="302" t="s">
        <v>550</v>
      </c>
    </row>
    <row r="60" spans="1:2" ht="18" x14ac:dyDescent="0.4">
      <c r="A60" s="299" t="str">
        <f t="shared" si="0"/>
        <v/>
      </c>
      <c r="B60" s="302" t="s">
        <v>551</v>
      </c>
    </row>
    <row r="61" spans="1:2" ht="18" x14ac:dyDescent="0.4">
      <c r="A61" s="299" t="str">
        <f t="shared" si="0"/>
        <v/>
      </c>
      <c r="B61" s="302" t="s">
        <v>552</v>
      </c>
    </row>
    <row r="62" spans="1:2" ht="18" x14ac:dyDescent="0.4">
      <c r="A62" s="299" t="str">
        <f t="shared" si="0"/>
        <v/>
      </c>
      <c r="B62" s="302" t="s">
        <v>553</v>
      </c>
    </row>
    <row r="63" spans="1:2" ht="18" x14ac:dyDescent="0.4">
      <c r="A63" s="299" t="str">
        <f t="shared" si="0"/>
        <v/>
      </c>
      <c r="B63" s="302" t="s">
        <v>554</v>
      </c>
    </row>
    <row r="64" spans="1:2" ht="18" x14ac:dyDescent="0.4">
      <c r="A64" s="299" t="str">
        <f t="shared" si="0"/>
        <v/>
      </c>
      <c r="B64" s="302" t="s">
        <v>555</v>
      </c>
    </row>
    <row r="65" spans="1:2" ht="18" x14ac:dyDescent="0.4">
      <c r="A65" s="299" t="str">
        <f t="shared" si="0"/>
        <v>第 9-1 條</v>
      </c>
      <c r="B65" s="302" t="s">
        <v>556</v>
      </c>
    </row>
    <row r="66" spans="1:2" ht="18" x14ac:dyDescent="0.4">
      <c r="A66" s="299" t="str">
        <f t="shared" si="0"/>
        <v/>
      </c>
      <c r="B66" s="302" t="s">
        <v>557</v>
      </c>
    </row>
    <row r="67" spans="1:2" ht="18" x14ac:dyDescent="0.4">
      <c r="A67" s="299" t="str">
        <f t="shared" si="0"/>
        <v/>
      </c>
      <c r="B67" s="302" t="s">
        <v>558</v>
      </c>
    </row>
    <row r="68" spans="1:2" ht="18" x14ac:dyDescent="0.4">
      <c r="A68" s="299" t="str">
        <f t="shared" si="0"/>
        <v/>
      </c>
      <c r="B68" s="302" t="s">
        <v>559</v>
      </c>
    </row>
    <row r="69" spans="1:2" ht="18" x14ac:dyDescent="0.4">
      <c r="A69" s="299" t="str">
        <f t="shared" si="0"/>
        <v/>
      </c>
      <c r="B69" s="302" t="s">
        <v>25</v>
      </c>
    </row>
    <row r="70" spans="1:2" ht="18" x14ac:dyDescent="0.4">
      <c r="A70" s="299" t="str">
        <f t="shared" si="0"/>
        <v/>
      </c>
      <c r="B70" s="302" t="s">
        <v>560</v>
      </c>
    </row>
    <row r="71" spans="1:2" ht="18" x14ac:dyDescent="0.4">
      <c r="A71" s="299" t="str">
        <f t="shared" ref="A71:A134" si="1">IF(LEFT(B70,1)="第",B70,"")</f>
        <v/>
      </c>
      <c r="B71" s="302" t="s">
        <v>561</v>
      </c>
    </row>
    <row r="72" spans="1:2" ht="18" x14ac:dyDescent="0.4">
      <c r="A72" s="299" t="str">
        <f t="shared" si="1"/>
        <v/>
      </c>
      <c r="B72" s="302" t="s">
        <v>562</v>
      </c>
    </row>
    <row r="73" spans="1:2" ht="18" x14ac:dyDescent="0.4">
      <c r="A73" s="299" t="str">
        <f t="shared" si="1"/>
        <v/>
      </c>
      <c r="B73" s="302" t="s">
        <v>563</v>
      </c>
    </row>
    <row r="74" spans="1:2" ht="18" x14ac:dyDescent="0.4">
      <c r="A74" s="299" t="str">
        <f t="shared" si="1"/>
        <v/>
      </c>
      <c r="B74" s="302" t="s">
        <v>19</v>
      </c>
    </row>
    <row r="75" spans="1:2" ht="18" x14ac:dyDescent="0.4">
      <c r="A75" s="299" t="str">
        <f t="shared" si="1"/>
        <v>第 10 條</v>
      </c>
      <c r="B75" s="302" t="s">
        <v>564</v>
      </c>
    </row>
    <row r="76" spans="1:2" ht="18" x14ac:dyDescent="0.4">
      <c r="A76" s="299" t="str">
        <f t="shared" si="1"/>
        <v/>
      </c>
      <c r="B76" s="302" t="s">
        <v>565</v>
      </c>
    </row>
    <row r="77" spans="1:2" ht="18" x14ac:dyDescent="0.4">
      <c r="A77" s="299" t="str">
        <f t="shared" si="1"/>
        <v/>
      </c>
      <c r="B77" s="302" t="s">
        <v>566</v>
      </c>
    </row>
    <row r="78" spans="1:2" ht="18" x14ac:dyDescent="0.4">
      <c r="A78" s="299" t="str">
        <f t="shared" si="1"/>
        <v>第 10-1 條</v>
      </c>
      <c r="B78" s="302" t="s">
        <v>567</v>
      </c>
    </row>
    <row r="79" spans="1:2" ht="18" x14ac:dyDescent="0.4">
      <c r="A79" s="299" t="str">
        <f t="shared" si="1"/>
        <v/>
      </c>
      <c r="B79" s="302" t="s">
        <v>568</v>
      </c>
    </row>
    <row r="80" spans="1:2" ht="18" x14ac:dyDescent="0.4">
      <c r="A80" s="299" t="str">
        <f t="shared" si="1"/>
        <v/>
      </c>
      <c r="B80" s="302" t="s">
        <v>569</v>
      </c>
    </row>
    <row r="81" spans="1:2" ht="18" x14ac:dyDescent="0.4">
      <c r="A81" s="299" t="str">
        <f t="shared" si="1"/>
        <v/>
      </c>
      <c r="B81" s="302" t="s">
        <v>570</v>
      </c>
    </row>
    <row r="82" spans="1:2" ht="18" x14ac:dyDescent="0.4">
      <c r="A82" s="299" t="str">
        <f t="shared" si="1"/>
        <v/>
      </c>
      <c r="B82" s="302" t="s">
        <v>571</v>
      </c>
    </row>
    <row r="83" spans="1:2" ht="18" x14ac:dyDescent="0.4">
      <c r="A83" s="299" t="str">
        <f t="shared" si="1"/>
        <v/>
      </c>
      <c r="B83" s="302" t="s">
        <v>572</v>
      </c>
    </row>
    <row r="84" spans="1:2" ht="18" x14ac:dyDescent="0.4">
      <c r="A84" s="299" t="str">
        <f t="shared" si="1"/>
        <v/>
      </c>
      <c r="B84" s="302" t="s">
        <v>573</v>
      </c>
    </row>
    <row r="85" spans="1:2" ht="18" x14ac:dyDescent="0.4">
      <c r="A85" s="299" t="str">
        <f t="shared" si="1"/>
        <v/>
      </c>
      <c r="B85" s="302" t="s">
        <v>20</v>
      </c>
    </row>
    <row r="86" spans="1:2" ht="18" x14ac:dyDescent="0.4">
      <c r="A86" s="299" t="str">
        <f t="shared" si="1"/>
        <v>第 11 條</v>
      </c>
      <c r="B86" s="302" t="s">
        <v>574</v>
      </c>
    </row>
    <row r="87" spans="1:2" ht="18" x14ac:dyDescent="0.4">
      <c r="A87" s="299" t="str">
        <f t="shared" si="1"/>
        <v/>
      </c>
      <c r="B87" s="302" t="s">
        <v>575</v>
      </c>
    </row>
    <row r="88" spans="1:2" ht="18" x14ac:dyDescent="0.4">
      <c r="A88" s="299" t="str">
        <f t="shared" si="1"/>
        <v/>
      </c>
      <c r="B88" s="302" t="s">
        <v>576</v>
      </c>
    </row>
    <row r="89" spans="1:2" ht="18" x14ac:dyDescent="0.4">
      <c r="A89" s="299" t="str">
        <f t="shared" si="1"/>
        <v/>
      </c>
      <c r="B89" s="302" t="s">
        <v>577</v>
      </c>
    </row>
    <row r="90" spans="1:2" ht="18" x14ac:dyDescent="0.4">
      <c r="A90" s="299" t="str">
        <f t="shared" si="1"/>
        <v/>
      </c>
      <c r="B90" s="302" t="s">
        <v>578</v>
      </c>
    </row>
    <row r="91" spans="1:2" ht="18" x14ac:dyDescent="0.4">
      <c r="A91" s="299" t="str">
        <f t="shared" si="1"/>
        <v/>
      </c>
      <c r="B91" s="302" t="s">
        <v>579</v>
      </c>
    </row>
    <row r="92" spans="1:2" ht="18" x14ac:dyDescent="0.4">
      <c r="A92" s="299" t="str">
        <f t="shared" si="1"/>
        <v/>
      </c>
      <c r="B92" s="302" t="s">
        <v>21</v>
      </c>
    </row>
    <row r="93" spans="1:2" ht="18" x14ac:dyDescent="0.4">
      <c r="A93" s="299" t="str">
        <f t="shared" si="1"/>
        <v>第 12 條</v>
      </c>
      <c r="B93" s="302" t="s">
        <v>580</v>
      </c>
    </row>
    <row r="94" spans="1:2" ht="18" x14ac:dyDescent="0.4">
      <c r="A94" s="299" t="str">
        <f t="shared" si="1"/>
        <v/>
      </c>
      <c r="B94" s="302" t="s">
        <v>581</v>
      </c>
    </row>
    <row r="95" spans="1:2" ht="18" x14ac:dyDescent="0.4">
      <c r="A95" s="299" t="str">
        <f t="shared" si="1"/>
        <v/>
      </c>
      <c r="B95" s="302" t="s">
        <v>582</v>
      </c>
    </row>
    <row r="96" spans="1:2" ht="18" x14ac:dyDescent="0.4">
      <c r="A96" s="299" t="str">
        <f t="shared" si="1"/>
        <v/>
      </c>
      <c r="B96" s="302" t="s">
        <v>583</v>
      </c>
    </row>
    <row r="97" spans="1:2" ht="18" x14ac:dyDescent="0.4">
      <c r="A97" s="299" t="str">
        <f t="shared" si="1"/>
        <v/>
      </c>
      <c r="B97" s="302" t="s">
        <v>584</v>
      </c>
    </row>
    <row r="98" spans="1:2" ht="18" x14ac:dyDescent="0.4">
      <c r="A98" s="299" t="str">
        <f t="shared" si="1"/>
        <v/>
      </c>
      <c r="B98" s="302" t="s">
        <v>585</v>
      </c>
    </row>
    <row r="99" spans="1:2" ht="18" x14ac:dyDescent="0.4">
      <c r="A99" s="299" t="str">
        <f t="shared" si="1"/>
        <v/>
      </c>
      <c r="B99" s="302" t="s">
        <v>586</v>
      </c>
    </row>
    <row r="100" spans="1:2" ht="18" x14ac:dyDescent="0.4">
      <c r="A100" s="299" t="str">
        <f t="shared" si="1"/>
        <v/>
      </c>
      <c r="B100" s="302" t="s">
        <v>587</v>
      </c>
    </row>
    <row r="101" spans="1:2" ht="18" x14ac:dyDescent="0.4">
      <c r="A101" s="299" t="str">
        <f t="shared" si="1"/>
        <v/>
      </c>
      <c r="B101" s="302" t="s">
        <v>588</v>
      </c>
    </row>
    <row r="102" spans="1:2" ht="18" x14ac:dyDescent="0.4">
      <c r="A102" s="299" t="str">
        <f t="shared" si="1"/>
        <v/>
      </c>
      <c r="B102" s="302" t="s">
        <v>589</v>
      </c>
    </row>
    <row r="103" spans="1:2" ht="18" x14ac:dyDescent="0.4">
      <c r="A103" s="299" t="str">
        <f t="shared" si="1"/>
        <v/>
      </c>
      <c r="B103" s="302" t="s">
        <v>590</v>
      </c>
    </row>
    <row r="104" spans="1:2" ht="18" x14ac:dyDescent="0.4">
      <c r="A104" s="299" t="str">
        <f t="shared" si="1"/>
        <v/>
      </c>
      <c r="B104" s="302" t="s">
        <v>22</v>
      </c>
    </row>
    <row r="105" spans="1:2" ht="18" x14ac:dyDescent="0.4">
      <c r="A105" s="299" t="str">
        <f t="shared" si="1"/>
        <v>第 13 條</v>
      </c>
      <c r="B105" s="302" t="s">
        <v>591</v>
      </c>
    </row>
    <row r="106" spans="1:2" ht="18" x14ac:dyDescent="0.4">
      <c r="A106" s="299" t="str">
        <f t="shared" si="1"/>
        <v/>
      </c>
      <c r="B106" s="302" t="s">
        <v>592</v>
      </c>
    </row>
    <row r="107" spans="1:2" ht="18" x14ac:dyDescent="0.4">
      <c r="A107" s="299" t="str">
        <f t="shared" si="1"/>
        <v/>
      </c>
      <c r="B107" s="302" t="s">
        <v>593</v>
      </c>
    </row>
    <row r="108" spans="1:2" ht="18" x14ac:dyDescent="0.4">
      <c r="A108" s="299" t="str">
        <f t="shared" si="1"/>
        <v/>
      </c>
      <c r="B108" s="302" t="s">
        <v>23</v>
      </c>
    </row>
    <row r="109" spans="1:2" ht="18" x14ac:dyDescent="0.4">
      <c r="A109" s="299" t="str">
        <f t="shared" si="1"/>
        <v>第 14 條</v>
      </c>
      <c r="B109" s="302" t="s">
        <v>594</v>
      </c>
    </row>
    <row r="110" spans="1:2" ht="18" x14ac:dyDescent="0.4">
      <c r="A110" s="299" t="str">
        <f t="shared" si="1"/>
        <v/>
      </c>
      <c r="B110" s="302" t="s">
        <v>595</v>
      </c>
    </row>
    <row r="111" spans="1:2" ht="18" x14ac:dyDescent="0.4">
      <c r="A111" s="299" t="str">
        <f t="shared" si="1"/>
        <v/>
      </c>
      <c r="B111" s="302" t="s">
        <v>596</v>
      </c>
    </row>
    <row r="112" spans="1:2" ht="18" x14ac:dyDescent="0.4">
      <c r="A112" s="299" t="str">
        <f t="shared" si="1"/>
        <v/>
      </c>
      <c r="B112" s="302" t="s">
        <v>597</v>
      </c>
    </row>
    <row r="113" spans="1:2" ht="18" x14ac:dyDescent="0.4">
      <c r="A113" s="299" t="str">
        <f t="shared" si="1"/>
        <v/>
      </c>
      <c r="B113" s="302" t="s">
        <v>598</v>
      </c>
    </row>
    <row r="114" spans="1:2" ht="18" x14ac:dyDescent="0.4">
      <c r="A114" s="299" t="str">
        <f t="shared" si="1"/>
        <v/>
      </c>
      <c r="B114" s="302" t="s">
        <v>599</v>
      </c>
    </row>
    <row r="115" spans="1:2" ht="18" x14ac:dyDescent="0.4">
      <c r="A115" s="299" t="str">
        <f t="shared" si="1"/>
        <v/>
      </c>
      <c r="B115" s="302" t="s">
        <v>600</v>
      </c>
    </row>
    <row r="116" spans="1:2" ht="18" x14ac:dyDescent="0.4">
      <c r="A116" s="299" t="str">
        <f t="shared" si="1"/>
        <v/>
      </c>
      <c r="B116" s="302" t="s">
        <v>601</v>
      </c>
    </row>
    <row r="117" spans="1:2" ht="18" x14ac:dyDescent="0.4">
      <c r="A117" s="299" t="str">
        <f t="shared" si="1"/>
        <v/>
      </c>
      <c r="B117" s="302" t="s">
        <v>602</v>
      </c>
    </row>
    <row r="118" spans="1:2" ht="18" x14ac:dyDescent="0.4">
      <c r="A118" s="299" t="str">
        <f t="shared" si="1"/>
        <v/>
      </c>
      <c r="B118" s="302" t="s">
        <v>603</v>
      </c>
    </row>
    <row r="119" spans="1:2" ht="18" x14ac:dyDescent="0.4">
      <c r="A119" s="299" t="str">
        <f t="shared" si="1"/>
        <v/>
      </c>
      <c r="B119" s="302" t="s">
        <v>604</v>
      </c>
    </row>
    <row r="120" spans="1:2" ht="18" x14ac:dyDescent="0.4">
      <c r="A120" s="299" t="str">
        <f t="shared" si="1"/>
        <v/>
      </c>
      <c r="B120" s="302" t="s">
        <v>605</v>
      </c>
    </row>
    <row r="121" spans="1:2" ht="18" x14ac:dyDescent="0.4">
      <c r="A121" s="299" t="str">
        <f t="shared" si="1"/>
        <v/>
      </c>
      <c r="B121" s="302" t="s">
        <v>606</v>
      </c>
    </row>
    <row r="122" spans="1:2" ht="18" x14ac:dyDescent="0.4">
      <c r="A122" s="299" t="str">
        <f t="shared" si="1"/>
        <v/>
      </c>
      <c r="B122" s="302" t="s">
        <v>607</v>
      </c>
    </row>
    <row r="123" spans="1:2" ht="18" x14ac:dyDescent="0.4">
      <c r="A123" s="299" t="str">
        <f t="shared" si="1"/>
        <v/>
      </c>
      <c r="B123" s="302" t="s">
        <v>608</v>
      </c>
    </row>
    <row r="124" spans="1:2" ht="18" x14ac:dyDescent="0.4">
      <c r="A124" s="299" t="str">
        <f t="shared" si="1"/>
        <v/>
      </c>
      <c r="B124" s="302" t="s">
        <v>609</v>
      </c>
    </row>
    <row r="125" spans="1:2" ht="18" x14ac:dyDescent="0.4">
      <c r="A125" s="299" t="str">
        <f t="shared" si="1"/>
        <v/>
      </c>
      <c r="B125" s="302" t="s">
        <v>610</v>
      </c>
    </row>
    <row r="126" spans="1:2" ht="18" x14ac:dyDescent="0.4">
      <c r="A126" s="299" t="str">
        <f t="shared" si="1"/>
        <v/>
      </c>
      <c r="B126" s="302" t="s">
        <v>611</v>
      </c>
    </row>
    <row r="127" spans="1:2" ht="18" x14ac:dyDescent="0.4">
      <c r="A127" s="299" t="str">
        <f t="shared" si="1"/>
        <v>第十七條規定於本條終止契約準用之。</v>
      </c>
      <c r="B127" s="302" t="s">
        <v>24</v>
      </c>
    </row>
    <row r="128" spans="1:2" ht="18" x14ac:dyDescent="0.4">
      <c r="A128" s="299" t="str">
        <f t="shared" si="1"/>
        <v>第 15 條</v>
      </c>
      <c r="B128" s="302" t="s">
        <v>612</v>
      </c>
    </row>
    <row r="129" spans="1:2" ht="18" x14ac:dyDescent="0.4">
      <c r="A129" s="299" t="str">
        <f t="shared" si="1"/>
        <v/>
      </c>
      <c r="B129" s="302" t="s">
        <v>613</v>
      </c>
    </row>
    <row r="130" spans="1:2" ht="18" x14ac:dyDescent="0.4">
      <c r="A130" s="299" t="str">
        <f t="shared" si="1"/>
        <v/>
      </c>
      <c r="B130" s="302" t="s">
        <v>614</v>
      </c>
    </row>
    <row r="131" spans="1:2" ht="18" x14ac:dyDescent="0.4">
      <c r="A131" s="299" t="str">
        <f t="shared" si="1"/>
        <v/>
      </c>
      <c r="B131" s="302" t="s">
        <v>25</v>
      </c>
    </row>
    <row r="132" spans="1:2" ht="18" x14ac:dyDescent="0.4">
      <c r="A132" s="299" t="str">
        <f t="shared" si="1"/>
        <v/>
      </c>
      <c r="B132" s="302" t="s">
        <v>615</v>
      </c>
    </row>
    <row r="133" spans="1:2" ht="18" x14ac:dyDescent="0.4">
      <c r="A133" s="299" t="str">
        <f t="shared" si="1"/>
        <v>第 15-1 條</v>
      </c>
      <c r="B133" s="302" t="s">
        <v>616</v>
      </c>
    </row>
    <row r="134" spans="1:2" ht="18" x14ac:dyDescent="0.4">
      <c r="A134" s="299" t="str">
        <f t="shared" si="1"/>
        <v/>
      </c>
      <c r="B134" s="302" t="s">
        <v>617</v>
      </c>
    </row>
    <row r="135" spans="1:2" ht="18" x14ac:dyDescent="0.4">
      <c r="A135" s="299" t="str">
        <f t="shared" ref="A135:A198" si="2">IF(LEFT(B134,1)="第",B134,"")</f>
        <v/>
      </c>
      <c r="B135" s="302" t="s">
        <v>618</v>
      </c>
    </row>
    <row r="136" spans="1:2" ht="18" x14ac:dyDescent="0.4">
      <c r="A136" s="299" t="str">
        <f t="shared" si="2"/>
        <v/>
      </c>
      <c r="B136" s="302" t="s">
        <v>619</v>
      </c>
    </row>
    <row r="137" spans="1:2" ht="18" x14ac:dyDescent="0.4">
      <c r="A137" s="299" t="str">
        <f t="shared" si="2"/>
        <v/>
      </c>
      <c r="B137" s="302" t="s">
        <v>620</v>
      </c>
    </row>
    <row r="138" spans="1:2" ht="18" x14ac:dyDescent="0.4">
      <c r="A138" s="299" t="str">
        <f t="shared" si="2"/>
        <v/>
      </c>
      <c r="B138" s="302" t="s">
        <v>621</v>
      </c>
    </row>
    <row r="139" spans="1:2" ht="18" x14ac:dyDescent="0.4">
      <c r="A139" s="299" t="str">
        <f t="shared" si="2"/>
        <v/>
      </c>
      <c r="B139" s="302" t="s">
        <v>622</v>
      </c>
    </row>
    <row r="140" spans="1:2" ht="18" x14ac:dyDescent="0.4">
      <c r="A140" s="299" t="str">
        <f t="shared" si="2"/>
        <v/>
      </c>
      <c r="B140" s="302" t="s">
        <v>623</v>
      </c>
    </row>
    <row r="141" spans="1:2" ht="18" x14ac:dyDescent="0.4">
      <c r="A141" s="299" t="str">
        <f t="shared" si="2"/>
        <v/>
      </c>
      <c r="B141" s="302" t="s">
        <v>624</v>
      </c>
    </row>
    <row r="142" spans="1:2" ht="18" x14ac:dyDescent="0.4">
      <c r="A142" s="299" t="str">
        <f t="shared" si="2"/>
        <v/>
      </c>
      <c r="B142" s="302" t="s">
        <v>625</v>
      </c>
    </row>
    <row r="143" spans="1:2" ht="18" x14ac:dyDescent="0.4">
      <c r="A143" s="299" t="str">
        <f t="shared" si="2"/>
        <v/>
      </c>
      <c r="B143" s="302" t="s">
        <v>626</v>
      </c>
    </row>
    <row r="144" spans="1:2" ht="18" x14ac:dyDescent="0.4">
      <c r="A144" s="299" t="str">
        <f t="shared" si="2"/>
        <v/>
      </c>
      <c r="B144" s="302" t="s">
        <v>26</v>
      </c>
    </row>
    <row r="145" spans="1:2" ht="18" x14ac:dyDescent="0.4">
      <c r="A145" s="299" t="str">
        <f t="shared" si="2"/>
        <v>第 16 條</v>
      </c>
      <c r="B145" s="302" t="s">
        <v>627</v>
      </c>
    </row>
    <row r="146" spans="1:2" ht="18" x14ac:dyDescent="0.4">
      <c r="A146" s="299" t="str">
        <f t="shared" si="2"/>
        <v/>
      </c>
      <c r="B146" s="302" t="s">
        <v>628</v>
      </c>
    </row>
    <row r="147" spans="1:2" ht="18" x14ac:dyDescent="0.4">
      <c r="A147" s="299" t="str">
        <f t="shared" si="2"/>
        <v/>
      </c>
      <c r="B147" s="302" t="s">
        <v>629</v>
      </c>
    </row>
    <row r="148" spans="1:2" ht="18" x14ac:dyDescent="0.4">
      <c r="A148" s="299" t="str">
        <f t="shared" si="2"/>
        <v/>
      </c>
      <c r="B148" s="302" t="s">
        <v>630</v>
      </c>
    </row>
    <row r="149" spans="1:2" ht="18" x14ac:dyDescent="0.4">
      <c r="A149" s="299" t="str">
        <f t="shared" si="2"/>
        <v/>
      </c>
      <c r="B149" s="302" t="s">
        <v>631</v>
      </c>
    </row>
    <row r="150" spans="1:2" ht="18" x14ac:dyDescent="0.4">
      <c r="A150" s="299" t="str">
        <f t="shared" si="2"/>
        <v/>
      </c>
      <c r="B150" s="302" t="s">
        <v>632</v>
      </c>
    </row>
    <row r="151" spans="1:2" ht="18" x14ac:dyDescent="0.4">
      <c r="A151" s="299" t="str">
        <f t="shared" si="2"/>
        <v/>
      </c>
      <c r="B151" s="302" t="s">
        <v>633</v>
      </c>
    </row>
    <row r="152" spans="1:2" ht="18" x14ac:dyDescent="0.4">
      <c r="A152" s="299" t="str">
        <f t="shared" si="2"/>
        <v/>
      </c>
      <c r="B152" s="302" t="s">
        <v>634</v>
      </c>
    </row>
    <row r="153" spans="1:2" ht="18" x14ac:dyDescent="0.4">
      <c r="A153" s="299" t="str">
        <f t="shared" si="2"/>
        <v/>
      </c>
      <c r="B153" s="302" t="s">
        <v>27</v>
      </c>
    </row>
    <row r="154" spans="1:2" ht="18" x14ac:dyDescent="0.4">
      <c r="A154" s="299" t="str">
        <f t="shared" si="2"/>
        <v>第 17 條</v>
      </c>
      <c r="B154" s="302" t="s">
        <v>635</v>
      </c>
    </row>
    <row r="155" spans="1:2" ht="18" x14ac:dyDescent="0.4">
      <c r="A155" s="299" t="str">
        <f t="shared" si="2"/>
        <v/>
      </c>
      <c r="B155" s="302" t="s">
        <v>636</v>
      </c>
    </row>
    <row r="156" spans="1:2" ht="18" x14ac:dyDescent="0.4">
      <c r="A156" s="299" t="str">
        <f t="shared" si="2"/>
        <v/>
      </c>
      <c r="B156" s="302" t="s">
        <v>637</v>
      </c>
    </row>
    <row r="157" spans="1:2" ht="18" x14ac:dyDescent="0.4">
      <c r="A157" s="299" t="str">
        <f t="shared" si="2"/>
        <v/>
      </c>
      <c r="B157" s="302" t="s">
        <v>638</v>
      </c>
    </row>
    <row r="158" spans="1:2" ht="18" x14ac:dyDescent="0.4">
      <c r="A158" s="299" t="str">
        <f t="shared" si="2"/>
        <v/>
      </c>
      <c r="B158" s="302" t="s">
        <v>639</v>
      </c>
    </row>
    <row r="159" spans="1:2" ht="18" x14ac:dyDescent="0.4">
      <c r="A159" s="299" t="str">
        <f t="shared" si="2"/>
        <v/>
      </c>
      <c r="B159" s="302" t="s">
        <v>640</v>
      </c>
    </row>
    <row r="160" spans="1:2" ht="18" x14ac:dyDescent="0.4">
      <c r="A160" s="299" t="str">
        <f t="shared" si="2"/>
        <v/>
      </c>
      <c r="B160" s="302" t="s">
        <v>28</v>
      </c>
    </row>
    <row r="161" spans="1:2" ht="18" x14ac:dyDescent="0.4">
      <c r="A161" s="299" t="str">
        <f t="shared" si="2"/>
        <v>第 18 條</v>
      </c>
      <c r="B161" s="302" t="s">
        <v>641</v>
      </c>
    </row>
    <row r="162" spans="1:2" ht="18" x14ac:dyDescent="0.4">
      <c r="A162" s="299" t="str">
        <f t="shared" si="2"/>
        <v/>
      </c>
      <c r="B162" s="302" t="s">
        <v>642</v>
      </c>
    </row>
    <row r="163" spans="1:2" ht="18" x14ac:dyDescent="0.4">
      <c r="A163" s="299" t="str">
        <f t="shared" si="2"/>
        <v/>
      </c>
      <c r="B163" s="302" t="s">
        <v>643</v>
      </c>
    </row>
    <row r="164" spans="1:2" ht="18" x14ac:dyDescent="0.4">
      <c r="A164" s="299" t="str">
        <f t="shared" si="2"/>
        <v/>
      </c>
      <c r="B164" s="302" t="s">
        <v>29</v>
      </c>
    </row>
    <row r="165" spans="1:2" ht="18" x14ac:dyDescent="0.4">
      <c r="A165" s="299" t="str">
        <f t="shared" si="2"/>
        <v>第 19 條</v>
      </c>
      <c r="B165" s="302" t="s">
        <v>644</v>
      </c>
    </row>
    <row r="166" spans="1:2" ht="18" x14ac:dyDescent="0.4">
      <c r="A166" s="299" t="str">
        <f t="shared" si="2"/>
        <v/>
      </c>
      <c r="B166" s="302" t="s">
        <v>25</v>
      </c>
    </row>
    <row r="167" spans="1:2" ht="18" x14ac:dyDescent="0.4">
      <c r="A167" s="299" t="str">
        <f t="shared" si="2"/>
        <v/>
      </c>
      <c r="B167" s="302" t="s">
        <v>30</v>
      </c>
    </row>
    <row r="168" spans="1:2" ht="18" x14ac:dyDescent="0.4">
      <c r="A168" s="299" t="str">
        <f t="shared" si="2"/>
        <v>第 20 條</v>
      </c>
      <c r="B168" s="302" t="s">
        <v>645</v>
      </c>
    </row>
    <row r="169" spans="1:2" ht="18" x14ac:dyDescent="0.4">
      <c r="A169" s="299" t="str">
        <f t="shared" si="2"/>
        <v/>
      </c>
      <c r="B169" s="302" t="s">
        <v>646</v>
      </c>
    </row>
    <row r="170" spans="1:2" ht="18" x14ac:dyDescent="0.4">
      <c r="A170" s="299" t="str">
        <f t="shared" si="2"/>
        <v/>
      </c>
      <c r="B170" s="302" t="s">
        <v>647</v>
      </c>
    </row>
    <row r="171" spans="1:2" ht="18.5" x14ac:dyDescent="0.4">
      <c r="A171" s="299" t="str">
        <f t="shared" si="2"/>
        <v/>
      </c>
      <c r="B171" s="301" t="s">
        <v>311</v>
      </c>
    </row>
    <row r="172" spans="1:2" ht="18" x14ac:dyDescent="0.4">
      <c r="A172" s="299"/>
      <c r="B172" s="302" t="s">
        <v>31</v>
      </c>
    </row>
    <row r="173" spans="1:2" ht="18" x14ac:dyDescent="0.4">
      <c r="A173" s="299" t="str">
        <f t="shared" si="2"/>
        <v>第 21 條</v>
      </c>
      <c r="B173" s="302" t="s">
        <v>648</v>
      </c>
    </row>
    <row r="174" spans="1:2" ht="18" x14ac:dyDescent="0.4">
      <c r="A174" s="299" t="str">
        <f t="shared" si="2"/>
        <v/>
      </c>
      <c r="B174" s="302" t="s">
        <v>649</v>
      </c>
    </row>
    <row r="175" spans="1:2" ht="18" x14ac:dyDescent="0.4">
      <c r="A175" s="299" t="str">
        <f t="shared" si="2"/>
        <v/>
      </c>
      <c r="B175" s="302" t="s">
        <v>650</v>
      </c>
    </row>
    <row r="176" spans="1:2" ht="18" x14ac:dyDescent="0.4">
      <c r="A176" s="299" t="str">
        <f t="shared" si="2"/>
        <v/>
      </c>
      <c r="B176" s="302" t="s">
        <v>651</v>
      </c>
    </row>
    <row r="177" spans="1:2" ht="18" x14ac:dyDescent="0.4">
      <c r="A177" s="299" t="str">
        <f t="shared" si="2"/>
        <v/>
      </c>
      <c r="B177" s="302" t="s">
        <v>652</v>
      </c>
    </row>
    <row r="178" spans="1:2" ht="18" x14ac:dyDescent="0.4">
      <c r="A178" s="299" t="str">
        <f t="shared" si="2"/>
        <v/>
      </c>
      <c r="B178" s="302" t="s">
        <v>32</v>
      </c>
    </row>
    <row r="179" spans="1:2" ht="18" x14ac:dyDescent="0.4">
      <c r="A179" s="299" t="str">
        <f t="shared" si="2"/>
        <v>第 22 條</v>
      </c>
      <c r="B179" s="302" t="s">
        <v>653</v>
      </c>
    </row>
    <row r="180" spans="1:2" ht="18" x14ac:dyDescent="0.4">
      <c r="A180" s="299" t="str">
        <f t="shared" si="2"/>
        <v/>
      </c>
      <c r="B180" s="302" t="s">
        <v>654</v>
      </c>
    </row>
    <row r="181" spans="1:2" ht="18" x14ac:dyDescent="0.4">
      <c r="A181" s="299" t="str">
        <f t="shared" si="2"/>
        <v/>
      </c>
      <c r="B181" s="302" t="s">
        <v>655</v>
      </c>
    </row>
    <row r="182" spans="1:2" ht="18" x14ac:dyDescent="0.4">
      <c r="A182" s="299" t="str">
        <f t="shared" si="2"/>
        <v/>
      </c>
      <c r="B182" s="302" t="s">
        <v>656</v>
      </c>
    </row>
    <row r="183" spans="1:2" ht="18" x14ac:dyDescent="0.4">
      <c r="A183" s="299" t="str">
        <f t="shared" si="2"/>
        <v/>
      </c>
      <c r="B183" s="302" t="s">
        <v>657</v>
      </c>
    </row>
    <row r="184" spans="1:2" ht="18" x14ac:dyDescent="0.4">
      <c r="A184" s="299" t="str">
        <f t="shared" si="2"/>
        <v/>
      </c>
      <c r="B184" s="302" t="s">
        <v>33</v>
      </c>
    </row>
    <row r="185" spans="1:2" ht="18" x14ac:dyDescent="0.4">
      <c r="A185" s="299" t="str">
        <f t="shared" si="2"/>
        <v>第 23 條</v>
      </c>
      <c r="B185" s="302" t="s">
        <v>658</v>
      </c>
    </row>
    <row r="186" spans="1:2" ht="18" x14ac:dyDescent="0.4">
      <c r="A186" s="299" t="str">
        <f t="shared" si="2"/>
        <v/>
      </c>
      <c r="B186" s="302" t="s">
        <v>659</v>
      </c>
    </row>
    <row r="187" spans="1:2" ht="18" x14ac:dyDescent="0.4">
      <c r="A187" s="299" t="str">
        <f t="shared" si="2"/>
        <v/>
      </c>
      <c r="B187" s="302" t="s">
        <v>660</v>
      </c>
    </row>
    <row r="188" spans="1:2" ht="18" x14ac:dyDescent="0.4">
      <c r="A188" s="299" t="str">
        <f t="shared" si="2"/>
        <v/>
      </c>
      <c r="B188" s="302" t="s">
        <v>661</v>
      </c>
    </row>
    <row r="189" spans="1:2" ht="18" x14ac:dyDescent="0.4">
      <c r="A189" s="299" t="str">
        <f t="shared" si="2"/>
        <v/>
      </c>
      <c r="B189" s="302" t="s">
        <v>34</v>
      </c>
    </row>
    <row r="190" spans="1:2" ht="18" x14ac:dyDescent="0.4">
      <c r="A190" s="299" t="str">
        <f t="shared" si="2"/>
        <v>第 24 條</v>
      </c>
      <c r="B190" s="302" t="s">
        <v>662</v>
      </c>
    </row>
    <row r="191" spans="1:2" ht="18" x14ac:dyDescent="0.4">
      <c r="A191" s="299" t="str">
        <f t="shared" si="2"/>
        <v/>
      </c>
      <c r="B191" s="302" t="s">
        <v>663</v>
      </c>
    </row>
    <row r="192" spans="1:2" ht="18" x14ac:dyDescent="0.4">
      <c r="A192" s="299" t="str">
        <f t="shared" si="2"/>
        <v/>
      </c>
      <c r="B192" s="302" t="s">
        <v>664</v>
      </c>
    </row>
    <row r="193" spans="1:2" ht="18" x14ac:dyDescent="0.4">
      <c r="A193" s="299" t="str">
        <f t="shared" si="2"/>
        <v/>
      </c>
      <c r="B193" s="302" t="s">
        <v>665</v>
      </c>
    </row>
    <row r="194" spans="1:2" ht="18" x14ac:dyDescent="0.4">
      <c r="A194" s="299" t="str">
        <f t="shared" si="2"/>
        <v/>
      </c>
      <c r="B194" s="302" t="s">
        <v>666</v>
      </c>
    </row>
    <row r="195" spans="1:2" ht="18" x14ac:dyDescent="0.4">
      <c r="A195" s="299" t="str">
        <f t="shared" si="2"/>
        <v/>
      </c>
      <c r="B195" s="302" t="s">
        <v>667</v>
      </c>
    </row>
    <row r="196" spans="1:2" ht="18" x14ac:dyDescent="0.4">
      <c r="A196" s="299" t="str">
        <f t="shared" si="2"/>
        <v/>
      </c>
      <c r="B196" s="302" t="s">
        <v>668</v>
      </c>
    </row>
    <row r="197" spans="1:2" ht="18" x14ac:dyDescent="0.4">
      <c r="A197" s="299" t="str">
        <f t="shared" si="2"/>
        <v/>
      </c>
      <c r="B197" s="302" t="s">
        <v>669</v>
      </c>
    </row>
    <row r="198" spans="1:2" ht="18" x14ac:dyDescent="0.4">
      <c r="A198" s="299" t="str">
        <f t="shared" si="2"/>
        <v/>
      </c>
      <c r="B198" s="302" t="s">
        <v>670</v>
      </c>
    </row>
    <row r="199" spans="1:2" ht="18" x14ac:dyDescent="0.4">
      <c r="A199" s="299" t="str">
        <f t="shared" ref="A199:A262" si="3">IF(LEFT(B198,1)="第",B198,"")</f>
        <v/>
      </c>
      <c r="B199" s="302" t="s">
        <v>671</v>
      </c>
    </row>
    <row r="200" spans="1:2" ht="18" x14ac:dyDescent="0.4">
      <c r="A200" s="299" t="str">
        <f t="shared" si="3"/>
        <v/>
      </c>
      <c r="B200" s="302" t="s">
        <v>35</v>
      </c>
    </row>
    <row r="201" spans="1:2" ht="18" x14ac:dyDescent="0.4">
      <c r="A201" s="299" t="str">
        <f t="shared" si="3"/>
        <v>第 25 條</v>
      </c>
      <c r="B201" s="302" t="s">
        <v>672</v>
      </c>
    </row>
    <row r="202" spans="1:2" ht="18" x14ac:dyDescent="0.4">
      <c r="A202" s="299" t="str">
        <f t="shared" si="3"/>
        <v/>
      </c>
      <c r="B202" s="302" t="s">
        <v>673</v>
      </c>
    </row>
    <row r="203" spans="1:2" ht="18" x14ac:dyDescent="0.4">
      <c r="A203" s="299" t="str">
        <f t="shared" si="3"/>
        <v/>
      </c>
      <c r="B203" s="302" t="s">
        <v>36</v>
      </c>
    </row>
    <row r="204" spans="1:2" ht="18" x14ac:dyDescent="0.4">
      <c r="A204" s="299" t="str">
        <f t="shared" si="3"/>
        <v>第 26 條</v>
      </c>
      <c r="B204" s="302" t="s">
        <v>674</v>
      </c>
    </row>
    <row r="205" spans="1:2" ht="18" x14ac:dyDescent="0.4">
      <c r="A205" s="299" t="str">
        <f t="shared" si="3"/>
        <v/>
      </c>
      <c r="B205" s="302" t="s">
        <v>37</v>
      </c>
    </row>
    <row r="206" spans="1:2" ht="18" x14ac:dyDescent="0.4">
      <c r="A206" s="299" t="str">
        <f t="shared" si="3"/>
        <v>第 27 條</v>
      </c>
      <c r="B206" s="302" t="s">
        <v>675</v>
      </c>
    </row>
    <row r="207" spans="1:2" ht="18" x14ac:dyDescent="0.4">
      <c r="A207" s="299" t="str">
        <f t="shared" si="3"/>
        <v/>
      </c>
      <c r="B207" s="302" t="s">
        <v>38</v>
      </c>
    </row>
    <row r="208" spans="1:2" ht="18" x14ac:dyDescent="0.4">
      <c r="A208" s="299" t="str">
        <f t="shared" si="3"/>
        <v>第 28 條</v>
      </c>
      <c r="B208" s="302" t="s">
        <v>676</v>
      </c>
    </row>
    <row r="209" spans="1:2" ht="18" x14ac:dyDescent="0.4">
      <c r="A209" s="299" t="str">
        <f t="shared" si="3"/>
        <v/>
      </c>
      <c r="B209" s="302" t="s">
        <v>677</v>
      </c>
    </row>
    <row r="210" spans="1:2" ht="18" x14ac:dyDescent="0.4">
      <c r="A210" s="299" t="str">
        <f t="shared" si="3"/>
        <v/>
      </c>
      <c r="B210" s="302" t="s">
        <v>678</v>
      </c>
    </row>
    <row r="211" spans="1:2" ht="18" x14ac:dyDescent="0.4">
      <c r="A211" s="299" t="str">
        <f t="shared" si="3"/>
        <v/>
      </c>
      <c r="B211" s="302" t="s">
        <v>679</v>
      </c>
    </row>
    <row r="212" spans="1:2" ht="18" x14ac:dyDescent="0.4">
      <c r="A212" s="299" t="str">
        <f t="shared" si="3"/>
        <v/>
      </c>
      <c r="B212" s="302" t="s">
        <v>680</v>
      </c>
    </row>
    <row r="213" spans="1:2" ht="18" x14ac:dyDescent="0.4">
      <c r="A213" s="299" t="str">
        <f t="shared" si="3"/>
        <v/>
      </c>
      <c r="B213" s="302" t="s">
        <v>681</v>
      </c>
    </row>
    <row r="214" spans="1:2" ht="18" x14ac:dyDescent="0.4">
      <c r="A214" s="299" t="str">
        <f t="shared" si="3"/>
        <v/>
      </c>
      <c r="B214" s="302" t="s">
        <v>682</v>
      </c>
    </row>
    <row r="215" spans="1:2" ht="18" x14ac:dyDescent="0.4">
      <c r="A215" s="299" t="str">
        <f t="shared" si="3"/>
        <v/>
      </c>
      <c r="B215" s="302" t="s">
        <v>683</v>
      </c>
    </row>
    <row r="216" spans="1:2" ht="18" x14ac:dyDescent="0.4">
      <c r="A216" s="299" t="str">
        <f t="shared" si="3"/>
        <v/>
      </c>
      <c r="B216" s="302" t="s">
        <v>684</v>
      </c>
    </row>
    <row r="217" spans="1:2" ht="18" x14ac:dyDescent="0.4">
      <c r="A217" s="299" t="str">
        <f t="shared" si="3"/>
        <v/>
      </c>
      <c r="B217" s="302" t="s">
        <v>685</v>
      </c>
    </row>
    <row r="218" spans="1:2" ht="18" x14ac:dyDescent="0.4">
      <c r="A218" s="299" t="str">
        <f t="shared" si="3"/>
        <v/>
      </c>
      <c r="B218" s="302" t="s">
        <v>686</v>
      </c>
    </row>
    <row r="219" spans="1:2" ht="18" x14ac:dyDescent="0.4">
      <c r="A219" s="299" t="str">
        <f t="shared" si="3"/>
        <v/>
      </c>
      <c r="B219" s="302" t="s">
        <v>687</v>
      </c>
    </row>
    <row r="220" spans="1:2" ht="18" x14ac:dyDescent="0.4">
      <c r="A220" s="299" t="str">
        <f t="shared" si="3"/>
        <v/>
      </c>
      <c r="B220" s="302" t="s">
        <v>688</v>
      </c>
    </row>
    <row r="221" spans="1:2" ht="18" x14ac:dyDescent="0.4">
      <c r="A221" s="299"/>
      <c r="B221" s="302" t="s">
        <v>689</v>
      </c>
    </row>
    <row r="222" spans="1:2" ht="18" x14ac:dyDescent="0.4">
      <c r="A222" s="299" t="str">
        <f t="shared" si="3"/>
        <v/>
      </c>
      <c r="B222" s="302" t="s">
        <v>690</v>
      </c>
    </row>
    <row r="223" spans="1:2" ht="18" x14ac:dyDescent="0.4">
      <c r="A223" s="299" t="str">
        <f t="shared" si="3"/>
        <v/>
      </c>
      <c r="B223" s="302" t="s">
        <v>691</v>
      </c>
    </row>
    <row r="224" spans="1:2" ht="18" x14ac:dyDescent="0.4">
      <c r="A224" s="299" t="str">
        <f t="shared" si="3"/>
        <v/>
      </c>
      <c r="B224" s="302" t="s">
        <v>692</v>
      </c>
    </row>
    <row r="225" spans="1:2" ht="18" x14ac:dyDescent="0.4">
      <c r="A225" s="299" t="str">
        <f t="shared" si="3"/>
        <v/>
      </c>
      <c r="B225" s="302" t="s">
        <v>693</v>
      </c>
    </row>
    <row r="226" spans="1:2" ht="18" x14ac:dyDescent="0.4">
      <c r="A226" s="299" t="str">
        <f t="shared" si="3"/>
        <v/>
      </c>
      <c r="B226" s="302" t="s">
        <v>694</v>
      </c>
    </row>
    <row r="227" spans="1:2" ht="18" x14ac:dyDescent="0.4">
      <c r="A227" s="299" t="str">
        <f t="shared" si="3"/>
        <v/>
      </c>
      <c r="B227" s="302" t="s">
        <v>695</v>
      </c>
    </row>
    <row r="228" spans="1:2" ht="18" x14ac:dyDescent="0.4">
      <c r="A228" s="299" t="str">
        <f t="shared" si="3"/>
        <v/>
      </c>
      <c r="B228" s="302" t="s">
        <v>696</v>
      </c>
    </row>
    <row r="229" spans="1:2" ht="18" x14ac:dyDescent="0.4">
      <c r="A229" s="299" t="str">
        <f t="shared" si="3"/>
        <v/>
      </c>
      <c r="B229" s="302" t="s">
        <v>39</v>
      </c>
    </row>
    <row r="230" spans="1:2" ht="18" x14ac:dyDescent="0.4">
      <c r="A230" s="299" t="str">
        <f t="shared" si="3"/>
        <v>第 29 條</v>
      </c>
      <c r="B230" s="302" t="s">
        <v>697</v>
      </c>
    </row>
    <row r="231" spans="1:2" ht="18" x14ac:dyDescent="0.4">
      <c r="A231" s="299" t="str">
        <f t="shared" si="3"/>
        <v/>
      </c>
      <c r="B231" s="302" t="s">
        <v>698</v>
      </c>
    </row>
    <row r="232" spans="1:2" ht="18" x14ac:dyDescent="0.4">
      <c r="A232" s="299" t="str">
        <f t="shared" si="3"/>
        <v/>
      </c>
      <c r="B232" s="302" t="s">
        <v>25</v>
      </c>
    </row>
    <row r="233" spans="1:2" ht="18.5" x14ac:dyDescent="0.4">
      <c r="A233" s="299" t="str">
        <f t="shared" si="3"/>
        <v/>
      </c>
      <c r="B233" s="301" t="s">
        <v>343</v>
      </c>
    </row>
    <row r="234" spans="1:2" ht="18" x14ac:dyDescent="0.4">
      <c r="A234" s="299"/>
      <c r="B234" s="302" t="s">
        <v>40</v>
      </c>
    </row>
    <row r="235" spans="1:2" ht="18" x14ac:dyDescent="0.4">
      <c r="A235" s="299" t="str">
        <f t="shared" si="3"/>
        <v>第 30 條</v>
      </c>
      <c r="B235" s="302" t="s">
        <v>699</v>
      </c>
    </row>
    <row r="236" spans="1:2" ht="18" x14ac:dyDescent="0.4">
      <c r="A236" s="299" t="str">
        <f t="shared" si="3"/>
        <v/>
      </c>
      <c r="B236" s="302" t="s">
        <v>700</v>
      </c>
    </row>
    <row r="237" spans="1:2" ht="18" x14ac:dyDescent="0.4">
      <c r="A237" s="299" t="str">
        <f t="shared" si="3"/>
        <v/>
      </c>
      <c r="B237" s="302" t="s">
        <v>701</v>
      </c>
    </row>
    <row r="238" spans="1:2" ht="18" x14ac:dyDescent="0.4">
      <c r="A238" s="299" t="str">
        <f t="shared" si="3"/>
        <v/>
      </c>
      <c r="B238" s="302" t="s">
        <v>702</v>
      </c>
    </row>
    <row r="239" spans="1:2" ht="18" x14ac:dyDescent="0.4">
      <c r="A239" s="299" t="str">
        <f t="shared" si="3"/>
        <v/>
      </c>
      <c r="B239" s="302" t="s">
        <v>703</v>
      </c>
    </row>
    <row r="240" spans="1:2" ht="18" x14ac:dyDescent="0.4">
      <c r="A240" s="299" t="str">
        <f t="shared" si="3"/>
        <v/>
      </c>
      <c r="B240" s="302" t="s">
        <v>704</v>
      </c>
    </row>
    <row r="241" spans="1:2" ht="18" x14ac:dyDescent="0.4">
      <c r="A241" s="299"/>
      <c r="B241" s="302" t="s">
        <v>705</v>
      </c>
    </row>
    <row r="242" spans="1:2" ht="18" x14ac:dyDescent="0.4">
      <c r="A242" s="299" t="str">
        <f t="shared" si="3"/>
        <v/>
      </c>
      <c r="B242" s="302" t="s">
        <v>706</v>
      </c>
    </row>
    <row r="243" spans="1:2" ht="18" x14ac:dyDescent="0.4">
      <c r="A243" s="299" t="str">
        <f t="shared" si="3"/>
        <v/>
      </c>
      <c r="B243" s="302" t="s">
        <v>707</v>
      </c>
    </row>
    <row r="244" spans="1:2" ht="18" x14ac:dyDescent="0.4">
      <c r="A244" s="299" t="str">
        <f t="shared" si="3"/>
        <v/>
      </c>
      <c r="B244" s="302" t="s">
        <v>708</v>
      </c>
    </row>
    <row r="245" spans="1:2" ht="18" x14ac:dyDescent="0.4">
      <c r="A245" s="299" t="str">
        <f t="shared" si="3"/>
        <v/>
      </c>
      <c r="B245" s="302" t="s">
        <v>709</v>
      </c>
    </row>
    <row r="246" spans="1:2" ht="18" x14ac:dyDescent="0.4">
      <c r="A246" s="299" t="str">
        <f t="shared" si="3"/>
        <v/>
      </c>
      <c r="B246" s="302" t="s">
        <v>710</v>
      </c>
    </row>
    <row r="247" spans="1:2" ht="18" x14ac:dyDescent="0.4">
      <c r="A247" s="299" t="str">
        <f t="shared" si="3"/>
        <v/>
      </c>
      <c r="B247" s="302" t="s">
        <v>711</v>
      </c>
    </row>
    <row r="248" spans="1:2" ht="18" x14ac:dyDescent="0.4">
      <c r="A248" s="299" t="str">
        <f t="shared" si="3"/>
        <v/>
      </c>
      <c r="B248" s="302" t="s">
        <v>712</v>
      </c>
    </row>
    <row r="249" spans="1:2" ht="18" x14ac:dyDescent="0.4">
      <c r="A249" s="299"/>
      <c r="B249" s="302" t="s">
        <v>713</v>
      </c>
    </row>
    <row r="250" spans="1:2" ht="18" x14ac:dyDescent="0.4">
      <c r="A250" s="299" t="str">
        <f t="shared" si="3"/>
        <v/>
      </c>
      <c r="B250" s="302" t="s">
        <v>714</v>
      </c>
    </row>
    <row r="251" spans="1:2" ht="18" x14ac:dyDescent="0.4">
      <c r="A251" s="299" t="str">
        <f t="shared" si="3"/>
        <v/>
      </c>
      <c r="B251" s="302" t="s">
        <v>715</v>
      </c>
    </row>
    <row r="252" spans="1:2" ht="18" x14ac:dyDescent="0.4">
      <c r="A252" s="299" t="str">
        <f t="shared" si="3"/>
        <v>第 30-1 條</v>
      </c>
      <c r="B252" s="302" t="s">
        <v>716</v>
      </c>
    </row>
    <row r="253" spans="1:2" ht="18" x14ac:dyDescent="0.4">
      <c r="A253" s="299" t="str">
        <f t="shared" si="3"/>
        <v/>
      </c>
      <c r="B253" s="302" t="s">
        <v>717</v>
      </c>
    </row>
    <row r="254" spans="1:2" ht="18" x14ac:dyDescent="0.4">
      <c r="A254" s="299" t="str">
        <f t="shared" si="3"/>
        <v/>
      </c>
      <c r="B254" s="302" t="s">
        <v>718</v>
      </c>
    </row>
    <row r="255" spans="1:2" ht="18" x14ac:dyDescent="0.4">
      <c r="A255" s="299" t="str">
        <f t="shared" si="3"/>
        <v/>
      </c>
      <c r="B255" s="302" t="s">
        <v>719</v>
      </c>
    </row>
    <row r="256" spans="1:2" ht="18" x14ac:dyDescent="0.4">
      <c r="A256" s="299" t="str">
        <f t="shared" si="3"/>
        <v/>
      </c>
      <c r="B256" s="302" t="s">
        <v>720</v>
      </c>
    </row>
    <row r="257" spans="1:2" ht="18" x14ac:dyDescent="0.4">
      <c r="A257" s="299" t="str">
        <f t="shared" si="3"/>
        <v/>
      </c>
      <c r="B257" s="302" t="s">
        <v>721</v>
      </c>
    </row>
    <row r="258" spans="1:2" ht="18" x14ac:dyDescent="0.4">
      <c r="A258" s="299" t="str">
        <f t="shared" si="3"/>
        <v/>
      </c>
      <c r="B258" s="302" t="s">
        <v>722</v>
      </c>
    </row>
    <row r="259" spans="1:2" ht="18" x14ac:dyDescent="0.4">
      <c r="A259" s="299" t="str">
        <f t="shared" si="3"/>
        <v/>
      </c>
      <c r="B259" s="302" t="s">
        <v>723</v>
      </c>
    </row>
    <row r="260" spans="1:2" ht="18" x14ac:dyDescent="0.4">
      <c r="A260" s="299" t="str">
        <f t="shared" si="3"/>
        <v/>
      </c>
      <c r="B260" s="302" t="s">
        <v>724</v>
      </c>
    </row>
    <row r="261" spans="1:2" ht="18" x14ac:dyDescent="0.4">
      <c r="A261" s="299" t="str">
        <f t="shared" si="3"/>
        <v/>
      </c>
      <c r="B261" s="302" t="s">
        <v>41</v>
      </c>
    </row>
    <row r="262" spans="1:2" ht="18" x14ac:dyDescent="0.4">
      <c r="A262" s="299" t="str">
        <f t="shared" si="3"/>
        <v>第 31 條</v>
      </c>
      <c r="B262" s="302" t="s">
        <v>725</v>
      </c>
    </row>
    <row r="263" spans="1:2" ht="18" x14ac:dyDescent="0.4">
      <c r="A263" s="299" t="str">
        <f t="shared" ref="A263:A325" si="4">IF(LEFT(B262,1)="第",B262,"")</f>
        <v/>
      </c>
      <c r="B263" s="302" t="s">
        <v>42</v>
      </c>
    </row>
    <row r="264" spans="1:2" ht="18" x14ac:dyDescent="0.4">
      <c r="A264" s="299" t="str">
        <f t="shared" si="4"/>
        <v>第 32 條</v>
      </c>
      <c r="B264" s="302" t="s">
        <v>726</v>
      </c>
    </row>
    <row r="265" spans="1:2" ht="18" x14ac:dyDescent="0.4">
      <c r="A265" s="299" t="str">
        <f t="shared" si="4"/>
        <v/>
      </c>
      <c r="B265" s="302" t="s">
        <v>727</v>
      </c>
    </row>
    <row r="266" spans="1:2" ht="18" x14ac:dyDescent="0.4">
      <c r="A266" s="299" t="str">
        <f t="shared" si="4"/>
        <v/>
      </c>
      <c r="B266" s="302" t="s">
        <v>728</v>
      </c>
    </row>
    <row r="267" spans="1:2" ht="18" x14ac:dyDescent="0.4">
      <c r="A267" s="299" t="str">
        <f t="shared" si="4"/>
        <v/>
      </c>
      <c r="B267" s="302" t="s">
        <v>729</v>
      </c>
    </row>
    <row r="268" spans="1:2" ht="18" x14ac:dyDescent="0.4">
      <c r="A268" s="299" t="str">
        <f t="shared" si="4"/>
        <v/>
      </c>
      <c r="B268" s="302" t="s">
        <v>730</v>
      </c>
    </row>
    <row r="269" spans="1:2" ht="18" x14ac:dyDescent="0.4">
      <c r="A269" s="299" t="str">
        <f t="shared" si="4"/>
        <v/>
      </c>
      <c r="B269" s="302" t="s">
        <v>731</v>
      </c>
    </row>
    <row r="270" spans="1:2" ht="18" x14ac:dyDescent="0.4">
      <c r="A270" s="299" t="str">
        <f t="shared" si="4"/>
        <v/>
      </c>
      <c r="B270" s="302" t="s">
        <v>732</v>
      </c>
    </row>
    <row r="271" spans="1:2" ht="18" x14ac:dyDescent="0.4">
      <c r="A271" s="299" t="str">
        <f t="shared" si="4"/>
        <v/>
      </c>
      <c r="B271" s="302" t="s">
        <v>733</v>
      </c>
    </row>
    <row r="272" spans="1:2" ht="18" x14ac:dyDescent="0.4">
      <c r="A272" s="299" t="str">
        <f t="shared" si="4"/>
        <v/>
      </c>
      <c r="B272" s="302" t="s">
        <v>734</v>
      </c>
    </row>
    <row r="273" spans="1:2" ht="18" x14ac:dyDescent="0.4">
      <c r="A273" s="299" t="str">
        <f t="shared" si="4"/>
        <v/>
      </c>
      <c r="B273" s="302" t="s">
        <v>735</v>
      </c>
    </row>
    <row r="274" spans="1:2" ht="18" x14ac:dyDescent="0.4">
      <c r="A274" s="299" t="str">
        <f t="shared" si="4"/>
        <v/>
      </c>
      <c r="B274" s="302" t="s">
        <v>736</v>
      </c>
    </row>
    <row r="275" spans="1:2" ht="18" x14ac:dyDescent="0.4">
      <c r="A275" s="299" t="str">
        <f t="shared" si="4"/>
        <v/>
      </c>
      <c r="B275" s="302" t="s">
        <v>737</v>
      </c>
    </row>
    <row r="276" spans="1:2" ht="18" x14ac:dyDescent="0.4">
      <c r="A276" s="299" t="str">
        <f t="shared" si="4"/>
        <v/>
      </c>
      <c r="B276" s="302" t="s">
        <v>738</v>
      </c>
    </row>
    <row r="277" spans="1:2" ht="18" x14ac:dyDescent="0.4">
      <c r="A277" s="299" t="str">
        <f t="shared" si="4"/>
        <v/>
      </c>
      <c r="B277" s="302" t="s">
        <v>739</v>
      </c>
    </row>
    <row r="278" spans="1:2" ht="18" x14ac:dyDescent="0.4">
      <c r="A278" s="299" t="str">
        <f t="shared" si="4"/>
        <v/>
      </c>
      <c r="B278" s="302" t="s">
        <v>740</v>
      </c>
    </row>
    <row r="279" spans="1:2" ht="18" x14ac:dyDescent="0.4">
      <c r="A279" s="299" t="str">
        <f t="shared" si="4"/>
        <v>第 32-1 條</v>
      </c>
      <c r="B279" s="302" t="s">
        <v>741</v>
      </c>
    </row>
    <row r="280" spans="1:2" ht="18" x14ac:dyDescent="0.4">
      <c r="A280" s="299" t="str">
        <f t="shared" si="4"/>
        <v/>
      </c>
      <c r="B280" s="302" t="s">
        <v>742</v>
      </c>
    </row>
    <row r="281" spans="1:2" ht="18" x14ac:dyDescent="0.4">
      <c r="A281" s="299"/>
      <c r="B281" s="302" t="s">
        <v>743</v>
      </c>
    </row>
    <row r="282" spans="1:2" ht="18" x14ac:dyDescent="0.4">
      <c r="A282" s="299" t="str">
        <f t="shared" si="4"/>
        <v/>
      </c>
      <c r="B282" s="302" t="s">
        <v>744</v>
      </c>
    </row>
    <row r="283" spans="1:2" ht="18" x14ac:dyDescent="0.4">
      <c r="A283" s="299" t="str">
        <f t="shared" si="4"/>
        <v/>
      </c>
      <c r="B283" s="302" t="s">
        <v>745</v>
      </c>
    </row>
    <row r="284" spans="1:2" ht="18" x14ac:dyDescent="0.4">
      <c r="A284" s="299" t="str">
        <f t="shared" si="4"/>
        <v/>
      </c>
      <c r="B284" s="302" t="s">
        <v>746</v>
      </c>
    </row>
    <row r="285" spans="1:2" ht="18" x14ac:dyDescent="0.4">
      <c r="A285" s="299" t="str">
        <f t="shared" si="4"/>
        <v/>
      </c>
      <c r="B285" s="302" t="s">
        <v>43</v>
      </c>
    </row>
    <row r="286" spans="1:2" ht="18" x14ac:dyDescent="0.4">
      <c r="A286" s="299" t="str">
        <f t="shared" si="4"/>
        <v>第 33 條</v>
      </c>
      <c r="B286" s="302" t="s">
        <v>747</v>
      </c>
    </row>
    <row r="287" spans="1:2" ht="18" x14ac:dyDescent="0.4">
      <c r="A287" s="299"/>
      <c r="B287" s="302" t="s">
        <v>748</v>
      </c>
    </row>
    <row r="288" spans="1:2" ht="18" x14ac:dyDescent="0.4">
      <c r="A288" s="299" t="str">
        <f t="shared" si="4"/>
        <v/>
      </c>
      <c r="B288" s="302" t="s">
        <v>749</v>
      </c>
    </row>
    <row r="289" spans="1:2" ht="18" x14ac:dyDescent="0.4">
      <c r="A289" s="299" t="str">
        <f t="shared" si="4"/>
        <v/>
      </c>
      <c r="B289" s="302" t="s">
        <v>750</v>
      </c>
    </row>
    <row r="290" spans="1:2" ht="18" x14ac:dyDescent="0.4">
      <c r="A290" s="299" t="str">
        <f t="shared" si="4"/>
        <v/>
      </c>
      <c r="B290" s="302" t="s">
        <v>44</v>
      </c>
    </row>
    <row r="291" spans="1:2" ht="18" x14ac:dyDescent="0.4">
      <c r="A291" s="299" t="str">
        <f t="shared" si="4"/>
        <v>第 34 條</v>
      </c>
      <c r="B291" s="302" t="s">
        <v>751</v>
      </c>
    </row>
    <row r="292" spans="1:2" ht="18" x14ac:dyDescent="0.4">
      <c r="A292" s="299" t="str">
        <f t="shared" si="4"/>
        <v/>
      </c>
      <c r="B292" s="302" t="s">
        <v>657</v>
      </c>
    </row>
    <row r="293" spans="1:2" ht="18" x14ac:dyDescent="0.4">
      <c r="A293" s="299" t="str">
        <f t="shared" si="4"/>
        <v/>
      </c>
      <c r="B293" s="302" t="s">
        <v>752</v>
      </c>
    </row>
    <row r="294" spans="1:2" ht="18" x14ac:dyDescent="0.4">
      <c r="A294" s="299" t="str">
        <f t="shared" si="4"/>
        <v/>
      </c>
      <c r="B294" s="302" t="s">
        <v>753</v>
      </c>
    </row>
    <row r="295" spans="1:2" ht="18" x14ac:dyDescent="0.4">
      <c r="A295" s="299" t="str">
        <f t="shared" si="4"/>
        <v/>
      </c>
      <c r="B295" s="302" t="s">
        <v>754</v>
      </c>
    </row>
    <row r="296" spans="1:2" ht="18" x14ac:dyDescent="0.4">
      <c r="A296" s="299" t="str">
        <f t="shared" si="4"/>
        <v/>
      </c>
      <c r="B296" s="302" t="s">
        <v>755</v>
      </c>
    </row>
    <row r="297" spans="1:2" ht="18" x14ac:dyDescent="0.4">
      <c r="A297" s="299" t="str">
        <f t="shared" si="4"/>
        <v/>
      </c>
      <c r="B297" s="302" t="s">
        <v>756</v>
      </c>
    </row>
    <row r="298" spans="1:2" ht="18" x14ac:dyDescent="0.4">
      <c r="A298" s="299" t="str">
        <f t="shared" si="4"/>
        <v/>
      </c>
      <c r="B298" s="302" t="s">
        <v>733</v>
      </c>
    </row>
    <row r="299" spans="1:2" ht="18" x14ac:dyDescent="0.4">
      <c r="A299" s="299" t="str">
        <f t="shared" si="4"/>
        <v/>
      </c>
      <c r="B299" s="302" t="s">
        <v>45</v>
      </c>
    </row>
    <row r="300" spans="1:2" ht="18" x14ac:dyDescent="0.4">
      <c r="A300" s="299" t="str">
        <f t="shared" si="4"/>
        <v>第 35 條</v>
      </c>
      <c r="B300" s="302" t="s">
        <v>757</v>
      </c>
    </row>
    <row r="301" spans="1:2" ht="18" x14ac:dyDescent="0.4">
      <c r="A301" s="299" t="str">
        <f t="shared" si="4"/>
        <v/>
      </c>
      <c r="B301" s="302" t="s">
        <v>758</v>
      </c>
    </row>
    <row r="302" spans="1:2" ht="18" x14ac:dyDescent="0.4">
      <c r="A302" s="299" t="str">
        <f t="shared" si="4"/>
        <v/>
      </c>
      <c r="B302" s="302" t="s">
        <v>46</v>
      </c>
    </row>
    <row r="303" spans="1:2" ht="18" x14ac:dyDescent="0.4">
      <c r="A303" s="299" t="str">
        <f t="shared" si="4"/>
        <v>第 36 條</v>
      </c>
      <c r="B303" s="302" t="s">
        <v>759</v>
      </c>
    </row>
    <row r="304" spans="1:2" ht="18" x14ac:dyDescent="0.4">
      <c r="A304" s="299" t="str">
        <f t="shared" si="4"/>
        <v/>
      </c>
      <c r="B304" s="302" t="s">
        <v>760</v>
      </c>
    </row>
    <row r="305" spans="1:2" ht="18" x14ac:dyDescent="0.4">
      <c r="A305" s="299" t="str">
        <f t="shared" si="4"/>
        <v/>
      </c>
      <c r="B305" s="302" t="s">
        <v>761</v>
      </c>
    </row>
    <row r="306" spans="1:2" ht="18" x14ac:dyDescent="0.4">
      <c r="A306" s="299" t="str">
        <f t="shared" si="4"/>
        <v/>
      </c>
      <c r="B306" s="302" t="s">
        <v>762</v>
      </c>
    </row>
    <row r="307" spans="1:2" ht="18" x14ac:dyDescent="0.4">
      <c r="A307" s="299" t="str">
        <f t="shared" si="4"/>
        <v/>
      </c>
      <c r="B307" s="302" t="s">
        <v>763</v>
      </c>
    </row>
    <row r="308" spans="1:2" ht="18" x14ac:dyDescent="0.4">
      <c r="A308" s="299" t="str">
        <f t="shared" si="4"/>
        <v/>
      </c>
      <c r="B308" s="302" t="s">
        <v>764</v>
      </c>
    </row>
    <row r="309" spans="1:2" ht="18" x14ac:dyDescent="0.4">
      <c r="A309" s="299" t="str">
        <f t="shared" si="4"/>
        <v/>
      </c>
      <c r="B309" s="302" t="s">
        <v>765</v>
      </c>
    </row>
    <row r="310" spans="1:2" ht="18" x14ac:dyDescent="0.4">
      <c r="A310" s="299" t="str">
        <f t="shared" si="4"/>
        <v/>
      </c>
      <c r="B310" s="302" t="s">
        <v>766</v>
      </c>
    </row>
    <row r="311" spans="1:2" ht="18" x14ac:dyDescent="0.4">
      <c r="A311" s="299" t="str">
        <f t="shared" si="4"/>
        <v/>
      </c>
      <c r="B311" s="302" t="s">
        <v>767</v>
      </c>
    </row>
    <row r="312" spans="1:2" ht="18" x14ac:dyDescent="0.4">
      <c r="A312" s="299" t="str">
        <f t="shared" si="4"/>
        <v/>
      </c>
      <c r="B312" s="302" t="s">
        <v>768</v>
      </c>
    </row>
    <row r="313" spans="1:2" ht="18" x14ac:dyDescent="0.4">
      <c r="A313" s="299" t="str">
        <f t="shared" si="4"/>
        <v/>
      </c>
      <c r="B313" s="302" t="s">
        <v>769</v>
      </c>
    </row>
    <row r="314" spans="1:2" ht="18" x14ac:dyDescent="0.4">
      <c r="A314" s="299" t="str">
        <f t="shared" si="4"/>
        <v/>
      </c>
      <c r="B314" s="302" t="s">
        <v>770</v>
      </c>
    </row>
    <row r="315" spans="1:2" ht="18" x14ac:dyDescent="0.4">
      <c r="A315" s="299" t="str">
        <f t="shared" si="4"/>
        <v/>
      </c>
      <c r="B315" s="302" t="s">
        <v>771</v>
      </c>
    </row>
    <row r="316" spans="1:2" ht="18" x14ac:dyDescent="0.4">
      <c r="A316" s="299"/>
      <c r="B316" s="302" t="s">
        <v>772</v>
      </c>
    </row>
    <row r="317" spans="1:2" ht="18" x14ac:dyDescent="0.4">
      <c r="A317" s="299" t="str">
        <f t="shared" si="4"/>
        <v/>
      </c>
      <c r="B317" s="302" t="s">
        <v>773</v>
      </c>
    </row>
    <row r="318" spans="1:2" ht="18" x14ac:dyDescent="0.4">
      <c r="A318" s="299" t="str">
        <f t="shared" si="4"/>
        <v/>
      </c>
      <c r="B318" s="302" t="s">
        <v>774</v>
      </c>
    </row>
    <row r="319" spans="1:2" ht="18" x14ac:dyDescent="0.4">
      <c r="A319" s="299" t="str">
        <f t="shared" si="4"/>
        <v/>
      </c>
      <c r="B319" s="302" t="s">
        <v>47</v>
      </c>
    </row>
    <row r="320" spans="1:2" ht="18" x14ac:dyDescent="0.4">
      <c r="A320" s="299" t="str">
        <f t="shared" si="4"/>
        <v>第 37 條</v>
      </c>
      <c r="B320" s="302" t="s">
        <v>775</v>
      </c>
    </row>
    <row r="321" spans="1:2" ht="18" x14ac:dyDescent="0.4">
      <c r="A321" s="299" t="str">
        <f t="shared" si="4"/>
        <v/>
      </c>
      <c r="B321" s="302" t="s">
        <v>776</v>
      </c>
    </row>
    <row r="322" spans="1:2" ht="18" x14ac:dyDescent="0.4">
      <c r="A322" s="299" t="str">
        <f t="shared" si="4"/>
        <v/>
      </c>
      <c r="B322" s="302" t="s">
        <v>777</v>
      </c>
    </row>
    <row r="323" spans="1:2" ht="18" x14ac:dyDescent="0.4">
      <c r="A323" s="299" t="str">
        <f t="shared" si="4"/>
        <v/>
      </c>
      <c r="B323" s="302" t="s">
        <v>778</v>
      </c>
    </row>
    <row r="324" spans="1:2" ht="18" x14ac:dyDescent="0.4">
      <c r="A324" s="299" t="str">
        <f t="shared" si="4"/>
        <v/>
      </c>
      <c r="B324" s="302" t="s">
        <v>1148</v>
      </c>
    </row>
    <row r="325" spans="1:2" ht="18" x14ac:dyDescent="0.4">
      <c r="A325" s="382" t="str">
        <f t="shared" si="4"/>
        <v/>
      </c>
      <c r="B325" s="316" t="s">
        <v>779</v>
      </c>
    </row>
    <row r="326" spans="1:2" ht="18" x14ac:dyDescent="0.4">
      <c r="A326" s="383"/>
      <c r="B326" s="317" t="s">
        <v>780</v>
      </c>
    </row>
    <row r="327" spans="1:2" ht="18.5" x14ac:dyDescent="0.4">
      <c r="A327" s="383"/>
      <c r="B327" s="329" t="s">
        <v>781</v>
      </c>
    </row>
    <row r="328" spans="1:2" ht="18.5" x14ac:dyDescent="0.4">
      <c r="A328" s="383"/>
      <c r="B328" s="329" t="s">
        <v>782</v>
      </c>
    </row>
    <row r="329" spans="1:2" ht="18.5" x14ac:dyDescent="0.4">
      <c r="A329" s="383"/>
      <c r="B329" s="329" t="s">
        <v>783</v>
      </c>
    </row>
    <row r="330" spans="1:2" ht="18.5" x14ac:dyDescent="0.4">
      <c r="A330" s="383"/>
      <c r="B330" s="329" t="s">
        <v>784</v>
      </c>
    </row>
    <row r="331" spans="1:2" ht="18.5" x14ac:dyDescent="0.4">
      <c r="A331" s="383"/>
      <c r="B331" s="329" t="s">
        <v>785</v>
      </c>
    </row>
    <row r="332" spans="1:2" ht="18.5" x14ac:dyDescent="0.4">
      <c r="A332" s="383"/>
      <c r="B332" s="329" t="s">
        <v>786</v>
      </c>
    </row>
    <row r="333" spans="1:2" ht="18" x14ac:dyDescent="0.4">
      <c r="A333" s="383"/>
      <c r="B333" s="317" t="s">
        <v>787</v>
      </c>
    </row>
    <row r="334" spans="1:2" ht="19.5" customHeight="1" x14ac:dyDescent="0.4">
      <c r="A334" s="383"/>
      <c r="B334" s="317" t="s">
        <v>788</v>
      </c>
    </row>
    <row r="335" spans="1:2" ht="18" x14ac:dyDescent="0.4">
      <c r="A335" s="383"/>
      <c r="B335" s="317" t="s">
        <v>789</v>
      </c>
    </row>
    <row r="336" spans="1:2" ht="18" x14ac:dyDescent="0.4">
      <c r="A336" s="383"/>
      <c r="B336" s="317" t="s">
        <v>790</v>
      </c>
    </row>
    <row r="337" spans="1:2" ht="18.5" x14ac:dyDescent="0.4">
      <c r="A337" s="383"/>
      <c r="B337" s="317" t="s">
        <v>1141</v>
      </c>
    </row>
    <row r="338" spans="1:2" ht="18.5" x14ac:dyDescent="0.4">
      <c r="A338" s="383"/>
      <c r="B338" s="317" t="s">
        <v>1142</v>
      </c>
    </row>
    <row r="339" spans="1:2" ht="18.5" x14ac:dyDescent="0.4">
      <c r="A339" s="383"/>
      <c r="B339" s="318" t="s">
        <v>1140</v>
      </c>
    </row>
    <row r="340" spans="1:2" ht="18" x14ac:dyDescent="0.4">
      <c r="A340" s="383"/>
      <c r="B340" s="317" t="s">
        <v>791</v>
      </c>
    </row>
    <row r="341" spans="1:2" ht="18" x14ac:dyDescent="0.4">
      <c r="A341" s="383"/>
      <c r="B341" s="317" t="s">
        <v>792</v>
      </c>
    </row>
    <row r="342" spans="1:2" ht="18" x14ac:dyDescent="0.4">
      <c r="A342" s="299" t="e">
        <f>IF(LEFT(#REF!,1)="第",#REF!,"")</f>
        <v>#REF!</v>
      </c>
      <c r="B342" s="335" t="s">
        <v>793</v>
      </c>
    </row>
    <row r="343" spans="1:2" ht="18" x14ac:dyDescent="0.4">
      <c r="A343" s="299" t="str">
        <f t="shared" ref="A343:A389" si="5">IF(LEFT(B342,1)="第",B342,"")</f>
        <v/>
      </c>
      <c r="B343" s="302" t="s">
        <v>49</v>
      </c>
    </row>
    <row r="344" spans="1:2" ht="18" x14ac:dyDescent="0.4">
      <c r="A344" s="299" t="str">
        <f t="shared" si="5"/>
        <v>第 39 條</v>
      </c>
      <c r="B344" s="302" t="s">
        <v>794</v>
      </c>
    </row>
    <row r="345" spans="1:2" ht="18" x14ac:dyDescent="0.4">
      <c r="A345" s="299"/>
      <c r="B345" s="302" t="s">
        <v>795</v>
      </c>
    </row>
    <row r="346" spans="1:2" ht="18" x14ac:dyDescent="0.4">
      <c r="A346" s="299" t="str">
        <f t="shared" si="5"/>
        <v/>
      </c>
      <c r="B346" s="302" t="s">
        <v>796</v>
      </c>
    </row>
    <row r="347" spans="1:2" ht="18" x14ac:dyDescent="0.4">
      <c r="A347" s="299" t="str">
        <f t="shared" si="5"/>
        <v/>
      </c>
      <c r="B347" s="302" t="s">
        <v>797</v>
      </c>
    </row>
    <row r="348" spans="1:2" ht="18" x14ac:dyDescent="0.4">
      <c r="A348" s="299" t="str">
        <f t="shared" si="5"/>
        <v/>
      </c>
      <c r="B348" s="302" t="s">
        <v>50</v>
      </c>
    </row>
    <row r="349" spans="1:2" ht="18" x14ac:dyDescent="0.4">
      <c r="A349" s="299" t="str">
        <f t="shared" si="5"/>
        <v>第 40 條</v>
      </c>
      <c r="B349" s="302" t="s">
        <v>798</v>
      </c>
    </row>
    <row r="350" spans="1:2" ht="18" x14ac:dyDescent="0.4">
      <c r="A350" s="299" t="str">
        <f t="shared" si="5"/>
        <v/>
      </c>
      <c r="B350" s="302" t="s">
        <v>799</v>
      </c>
    </row>
    <row r="351" spans="1:2" ht="18" x14ac:dyDescent="0.4">
      <c r="A351" s="299" t="str">
        <f t="shared" si="5"/>
        <v/>
      </c>
      <c r="B351" s="302" t="s">
        <v>800</v>
      </c>
    </row>
    <row r="352" spans="1:2" ht="18" x14ac:dyDescent="0.4">
      <c r="A352" s="299" t="str">
        <f t="shared" si="5"/>
        <v/>
      </c>
      <c r="B352" s="302" t="s">
        <v>801</v>
      </c>
    </row>
    <row r="353" spans="1:2" ht="18" x14ac:dyDescent="0.4">
      <c r="A353" s="299" t="str">
        <f t="shared" si="5"/>
        <v/>
      </c>
      <c r="B353" s="302" t="s">
        <v>802</v>
      </c>
    </row>
    <row r="354" spans="1:2" ht="18" x14ac:dyDescent="0.4">
      <c r="A354" s="299" t="str">
        <f t="shared" si="5"/>
        <v/>
      </c>
      <c r="B354" s="302" t="s">
        <v>51</v>
      </c>
    </row>
    <row r="355" spans="1:2" ht="18" x14ac:dyDescent="0.4">
      <c r="A355" s="299" t="str">
        <f t="shared" si="5"/>
        <v>第 41 條</v>
      </c>
      <c r="B355" s="302" t="s">
        <v>803</v>
      </c>
    </row>
    <row r="356" spans="1:2" ht="18" x14ac:dyDescent="0.4">
      <c r="A356" s="299" t="str">
        <f t="shared" si="5"/>
        <v/>
      </c>
      <c r="B356" s="302" t="s">
        <v>804</v>
      </c>
    </row>
    <row r="357" spans="1:2" ht="18" x14ac:dyDescent="0.4">
      <c r="A357" s="299" t="str">
        <f t="shared" si="5"/>
        <v/>
      </c>
      <c r="B357" s="302" t="s">
        <v>52</v>
      </c>
    </row>
    <row r="358" spans="1:2" ht="18" x14ac:dyDescent="0.4">
      <c r="A358" s="299" t="str">
        <f t="shared" si="5"/>
        <v>第 42 條</v>
      </c>
      <c r="B358" s="302" t="s">
        <v>805</v>
      </c>
    </row>
    <row r="359" spans="1:2" ht="18" x14ac:dyDescent="0.4">
      <c r="A359" s="299" t="str">
        <f t="shared" si="5"/>
        <v/>
      </c>
      <c r="B359" s="302" t="s">
        <v>806</v>
      </c>
    </row>
    <row r="360" spans="1:2" ht="18" x14ac:dyDescent="0.4">
      <c r="A360" s="299" t="str">
        <f t="shared" si="5"/>
        <v/>
      </c>
      <c r="B360" s="302" t="s">
        <v>53</v>
      </c>
    </row>
    <row r="361" spans="1:2" ht="18" x14ac:dyDescent="0.4">
      <c r="A361" s="299" t="str">
        <f t="shared" si="5"/>
        <v>第 43 條</v>
      </c>
      <c r="B361" s="302" t="s">
        <v>807</v>
      </c>
    </row>
    <row r="362" spans="1:2" ht="18" x14ac:dyDescent="0.4">
      <c r="A362" s="299" t="str">
        <f t="shared" si="5"/>
        <v/>
      </c>
      <c r="B362" s="302" t="s">
        <v>808</v>
      </c>
    </row>
    <row r="363" spans="1:2" ht="18.5" x14ac:dyDescent="0.4">
      <c r="A363" s="299" t="str">
        <f t="shared" si="5"/>
        <v/>
      </c>
      <c r="B363" s="301" t="s">
        <v>411</v>
      </c>
    </row>
    <row r="364" spans="1:2" ht="18" x14ac:dyDescent="0.4">
      <c r="A364" s="299"/>
      <c r="B364" s="302" t="s">
        <v>54</v>
      </c>
    </row>
    <row r="365" spans="1:2" ht="18" x14ac:dyDescent="0.4">
      <c r="A365" s="299" t="str">
        <f t="shared" si="5"/>
        <v>第 44 條</v>
      </c>
      <c r="B365" s="302" t="s">
        <v>809</v>
      </c>
    </row>
    <row r="366" spans="1:2" ht="18" x14ac:dyDescent="0.4">
      <c r="A366" s="299" t="str">
        <f t="shared" si="5"/>
        <v/>
      </c>
      <c r="B366" s="302" t="s">
        <v>810</v>
      </c>
    </row>
    <row r="367" spans="1:2" ht="18" x14ac:dyDescent="0.4">
      <c r="A367" s="299" t="str">
        <f t="shared" si="5"/>
        <v/>
      </c>
      <c r="B367" s="302" t="s">
        <v>55</v>
      </c>
    </row>
    <row r="368" spans="1:2" ht="18" x14ac:dyDescent="0.4">
      <c r="A368" s="299" t="str">
        <f t="shared" si="5"/>
        <v>第 45 條</v>
      </c>
      <c r="B368" s="302" t="s">
        <v>811</v>
      </c>
    </row>
    <row r="369" spans="1:2" ht="18" x14ac:dyDescent="0.4">
      <c r="A369" s="299" t="str">
        <f t="shared" si="5"/>
        <v/>
      </c>
      <c r="B369" s="302" t="s">
        <v>812</v>
      </c>
    </row>
    <row r="370" spans="1:2" ht="18" x14ac:dyDescent="0.4">
      <c r="A370" s="299" t="str">
        <f t="shared" si="5"/>
        <v/>
      </c>
      <c r="B370" s="302" t="s">
        <v>813</v>
      </c>
    </row>
    <row r="371" spans="1:2" ht="18" x14ac:dyDescent="0.4">
      <c r="A371" s="299" t="str">
        <f t="shared" si="5"/>
        <v/>
      </c>
      <c r="B371" s="302" t="s">
        <v>814</v>
      </c>
    </row>
    <row r="372" spans="1:2" ht="18" x14ac:dyDescent="0.4">
      <c r="A372" s="299"/>
      <c r="B372" s="302" t="s">
        <v>815</v>
      </c>
    </row>
    <row r="373" spans="1:2" ht="18" x14ac:dyDescent="0.4">
      <c r="A373" s="299" t="str">
        <f t="shared" si="5"/>
        <v/>
      </c>
      <c r="B373" s="302" t="s">
        <v>816</v>
      </c>
    </row>
    <row r="374" spans="1:2" ht="18" x14ac:dyDescent="0.4">
      <c r="A374" s="299" t="str">
        <f t="shared" si="5"/>
        <v/>
      </c>
      <c r="B374" s="302" t="s">
        <v>817</v>
      </c>
    </row>
    <row r="375" spans="1:2" ht="18" x14ac:dyDescent="0.4">
      <c r="A375" s="299" t="str">
        <f t="shared" si="5"/>
        <v/>
      </c>
      <c r="B375" s="302" t="s">
        <v>818</v>
      </c>
    </row>
    <row r="376" spans="1:2" ht="18" x14ac:dyDescent="0.4">
      <c r="A376" s="299" t="str">
        <f t="shared" si="5"/>
        <v/>
      </c>
      <c r="B376" s="302" t="s">
        <v>56</v>
      </c>
    </row>
    <row r="377" spans="1:2" ht="18" x14ac:dyDescent="0.4">
      <c r="A377" s="299" t="str">
        <f t="shared" si="5"/>
        <v>第 46 條</v>
      </c>
      <c r="B377" s="302" t="s">
        <v>819</v>
      </c>
    </row>
    <row r="378" spans="1:2" ht="18" x14ac:dyDescent="0.4">
      <c r="A378" s="299" t="str">
        <f t="shared" si="5"/>
        <v/>
      </c>
      <c r="B378" s="302" t="s">
        <v>820</v>
      </c>
    </row>
    <row r="379" spans="1:2" ht="18" x14ac:dyDescent="0.4">
      <c r="A379" s="299" t="str">
        <f t="shared" si="5"/>
        <v/>
      </c>
      <c r="B379" s="302" t="s">
        <v>57</v>
      </c>
    </row>
    <row r="380" spans="1:2" ht="18" x14ac:dyDescent="0.4">
      <c r="A380" s="299" t="str">
        <f t="shared" si="5"/>
        <v>第 47 條</v>
      </c>
      <c r="B380" s="302" t="s">
        <v>821</v>
      </c>
    </row>
    <row r="381" spans="1:2" ht="18" x14ac:dyDescent="0.4">
      <c r="A381" s="299" t="str">
        <f t="shared" si="5"/>
        <v/>
      </c>
      <c r="B381" s="302" t="s">
        <v>822</v>
      </c>
    </row>
    <row r="382" spans="1:2" ht="18" x14ac:dyDescent="0.4">
      <c r="A382" s="299" t="str">
        <f t="shared" si="5"/>
        <v/>
      </c>
      <c r="B382" s="302" t="s">
        <v>58</v>
      </c>
    </row>
    <row r="383" spans="1:2" ht="18" x14ac:dyDescent="0.4">
      <c r="A383" s="299" t="str">
        <f t="shared" si="5"/>
        <v>第 48 條</v>
      </c>
      <c r="B383" s="302" t="s">
        <v>823</v>
      </c>
    </row>
    <row r="384" spans="1:2" ht="18" x14ac:dyDescent="0.4">
      <c r="A384" s="299" t="str">
        <f t="shared" si="5"/>
        <v/>
      </c>
      <c r="B384" s="302" t="s">
        <v>59</v>
      </c>
    </row>
    <row r="385" spans="1:2" ht="18" x14ac:dyDescent="0.4">
      <c r="A385" s="299" t="str">
        <f t="shared" si="5"/>
        <v>第 49 條</v>
      </c>
      <c r="B385" s="302" t="s">
        <v>824</v>
      </c>
    </row>
    <row r="386" spans="1:2" ht="18" x14ac:dyDescent="0.4">
      <c r="A386" s="299" t="str">
        <f t="shared" si="5"/>
        <v/>
      </c>
      <c r="B386" s="302" t="s">
        <v>825</v>
      </c>
    </row>
    <row r="387" spans="1:2" ht="18" x14ac:dyDescent="0.4">
      <c r="A387" s="299" t="str">
        <f t="shared" si="5"/>
        <v/>
      </c>
      <c r="B387" s="302" t="s">
        <v>826</v>
      </c>
    </row>
    <row r="388" spans="1:2" ht="18" x14ac:dyDescent="0.4">
      <c r="A388" s="299" t="str">
        <f t="shared" si="5"/>
        <v/>
      </c>
      <c r="B388" s="302" t="s">
        <v>827</v>
      </c>
    </row>
    <row r="389" spans="1:2" ht="18" x14ac:dyDescent="0.4">
      <c r="A389" s="299" t="str">
        <f t="shared" si="5"/>
        <v/>
      </c>
      <c r="B389" s="302" t="s">
        <v>828</v>
      </c>
    </row>
    <row r="390" spans="1:2" ht="18" x14ac:dyDescent="0.4">
      <c r="A390" s="299" t="str">
        <f t="shared" ref="A390:A453" si="6">IF(LEFT(B389,1)="第",B389,"")</f>
        <v/>
      </c>
      <c r="B390" s="302" t="s">
        <v>829</v>
      </c>
    </row>
    <row r="391" spans="1:2" ht="18" x14ac:dyDescent="0.4">
      <c r="A391" s="299" t="str">
        <f t="shared" si="6"/>
        <v/>
      </c>
      <c r="B391" s="302" t="s">
        <v>830</v>
      </c>
    </row>
    <row r="392" spans="1:2" ht="18" x14ac:dyDescent="0.4">
      <c r="A392" s="299" t="str">
        <f t="shared" si="6"/>
        <v/>
      </c>
      <c r="B392" s="302" t="s">
        <v>831</v>
      </c>
    </row>
    <row r="393" spans="1:2" ht="18" x14ac:dyDescent="0.4">
      <c r="A393" s="299" t="str">
        <f t="shared" si="6"/>
        <v/>
      </c>
      <c r="B393" s="302" t="s">
        <v>832</v>
      </c>
    </row>
    <row r="394" spans="1:2" ht="18" x14ac:dyDescent="0.4">
      <c r="A394" s="299" t="str">
        <f t="shared" si="6"/>
        <v/>
      </c>
      <c r="B394" s="302" t="s">
        <v>833</v>
      </c>
    </row>
    <row r="395" spans="1:2" ht="18" x14ac:dyDescent="0.4">
      <c r="A395" s="299"/>
      <c r="B395" s="302" t="s">
        <v>834</v>
      </c>
    </row>
    <row r="396" spans="1:2" ht="18" x14ac:dyDescent="0.4">
      <c r="A396" s="299"/>
      <c r="B396" s="302" t="s">
        <v>835</v>
      </c>
    </row>
    <row r="397" spans="1:2" ht="18" x14ac:dyDescent="0.4">
      <c r="A397" s="299"/>
      <c r="B397" s="302" t="s">
        <v>60</v>
      </c>
    </row>
    <row r="398" spans="1:2" ht="18" x14ac:dyDescent="0.4">
      <c r="A398" s="299" t="str">
        <f t="shared" si="6"/>
        <v>第 50 條</v>
      </c>
      <c r="B398" s="302" t="s">
        <v>836</v>
      </c>
    </row>
    <row r="399" spans="1:2" ht="18" x14ac:dyDescent="0.4">
      <c r="A399" s="299" t="str">
        <f t="shared" si="6"/>
        <v/>
      </c>
      <c r="B399" s="302" t="s">
        <v>837</v>
      </c>
    </row>
    <row r="400" spans="1:2" ht="18" x14ac:dyDescent="0.4">
      <c r="A400" s="299" t="str">
        <f t="shared" si="6"/>
        <v/>
      </c>
      <c r="B400" s="302" t="s">
        <v>838</v>
      </c>
    </row>
    <row r="401" spans="1:2" ht="18" x14ac:dyDescent="0.4">
      <c r="A401" s="299" t="str">
        <f t="shared" si="6"/>
        <v/>
      </c>
      <c r="B401" s="302" t="s">
        <v>839</v>
      </c>
    </row>
    <row r="402" spans="1:2" ht="18" x14ac:dyDescent="0.4">
      <c r="A402" s="299" t="str">
        <f t="shared" si="6"/>
        <v/>
      </c>
      <c r="B402" s="302" t="s">
        <v>61</v>
      </c>
    </row>
    <row r="403" spans="1:2" ht="18" x14ac:dyDescent="0.4">
      <c r="A403" s="299" t="str">
        <f t="shared" si="6"/>
        <v>第 51 條</v>
      </c>
      <c r="B403" s="302" t="s">
        <v>840</v>
      </c>
    </row>
    <row r="404" spans="1:2" ht="18" x14ac:dyDescent="0.4">
      <c r="A404" s="299" t="str">
        <f t="shared" si="6"/>
        <v/>
      </c>
      <c r="B404" s="302" t="s">
        <v>841</v>
      </c>
    </row>
    <row r="405" spans="1:2" ht="18" x14ac:dyDescent="0.4">
      <c r="A405" s="299" t="str">
        <f t="shared" si="6"/>
        <v/>
      </c>
      <c r="B405" s="302" t="s">
        <v>842</v>
      </c>
    </row>
    <row r="406" spans="1:2" ht="18" x14ac:dyDescent="0.4">
      <c r="A406" s="299" t="str">
        <f t="shared" si="6"/>
        <v>第 52 條</v>
      </c>
      <c r="B406" s="302" t="s">
        <v>843</v>
      </c>
    </row>
    <row r="407" spans="1:2" ht="18" x14ac:dyDescent="0.4">
      <c r="A407" s="299" t="str">
        <f t="shared" si="6"/>
        <v/>
      </c>
      <c r="B407" s="302" t="s">
        <v>844</v>
      </c>
    </row>
    <row r="408" spans="1:2" ht="18" x14ac:dyDescent="0.4">
      <c r="A408" s="299" t="str">
        <f t="shared" si="6"/>
        <v/>
      </c>
      <c r="B408" s="302" t="s">
        <v>845</v>
      </c>
    </row>
    <row r="409" spans="1:2" ht="18.5" x14ac:dyDescent="0.4">
      <c r="A409" s="299" t="str">
        <f t="shared" si="6"/>
        <v/>
      </c>
      <c r="B409" s="301" t="s">
        <v>415</v>
      </c>
    </row>
    <row r="410" spans="1:2" ht="18" x14ac:dyDescent="0.4">
      <c r="A410" s="299"/>
      <c r="B410" s="302" t="s">
        <v>846</v>
      </c>
    </row>
    <row r="411" spans="1:2" ht="18" x14ac:dyDescent="0.4">
      <c r="A411" s="299" t="str">
        <f t="shared" si="6"/>
        <v>第 53 條</v>
      </c>
      <c r="B411" s="302" t="s">
        <v>847</v>
      </c>
    </row>
    <row r="412" spans="1:2" ht="18" x14ac:dyDescent="0.4">
      <c r="A412" s="299" t="str">
        <f t="shared" si="6"/>
        <v/>
      </c>
      <c r="B412" s="302" t="s">
        <v>848</v>
      </c>
    </row>
    <row r="413" spans="1:2" ht="18" x14ac:dyDescent="0.4">
      <c r="A413" s="299" t="str">
        <f t="shared" si="6"/>
        <v/>
      </c>
      <c r="B413" s="302" t="s">
        <v>849</v>
      </c>
    </row>
    <row r="414" spans="1:2" ht="18" x14ac:dyDescent="0.4">
      <c r="A414" s="299" t="str">
        <f t="shared" si="6"/>
        <v/>
      </c>
      <c r="B414" s="302" t="s">
        <v>850</v>
      </c>
    </row>
    <row r="415" spans="1:2" ht="18" x14ac:dyDescent="0.4">
      <c r="A415" s="299" t="str">
        <f t="shared" si="6"/>
        <v/>
      </c>
      <c r="B415" s="302" t="s">
        <v>851</v>
      </c>
    </row>
    <row r="416" spans="1:2" ht="18" x14ac:dyDescent="0.4">
      <c r="A416" s="299" t="str">
        <f t="shared" si="6"/>
        <v>第 54 條</v>
      </c>
      <c r="B416" s="302" t="s">
        <v>852</v>
      </c>
    </row>
    <row r="417" spans="1:2" ht="18" x14ac:dyDescent="0.4">
      <c r="A417" s="299" t="str">
        <f t="shared" si="6"/>
        <v/>
      </c>
      <c r="B417" s="302" t="s">
        <v>853</v>
      </c>
    </row>
    <row r="418" spans="1:2" ht="18" x14ac:dyDescent="0.4">
      <c r="A418" s="299" t="str">
        <f t="shared" si="6"/>
        <v/>
      </c>
      <c r="B418" s="302" t="s">
        <v>854</v>
      </c>
    </row>
    <row r="419" spans="1:2" ht="18" x14ac:dyDescent="0.4">
      <c r="A419" s="299" t="str">
        <f t="shared" si="6"/>
        <v/>
      </c>
      <c r="B419" s="302" t="s">
        <v>855</v>
      </c>
    </row>
    <row r="420" spans="1:2" ht="18" x14ac:dyDescent="0.4">
      <c r="A420" s="299" t="str">
        <f t="shared" si="6"/>
        <v/>
      </c>
      <c r="B420" s="302" t="s">
        <v>856</v>
      </c>
    </row>
    <row r="421" spans="1:2" ht="18" x14ac:dyDescent="0.4">
      <c r="A421" s="299" t="str">
        <f t="shared" si="6"/>
        <v/>
      </c>
      <c r="B421" s="302" t="s">
        <v>857</v>
      </c>
    </row>
    <row r="422" spans="1:2" ht="18" x14ac:dyDescent="0.4">
      <c r="A422" s="299" t="str">
        <f t="shared" si="6"/>
        <v>第 55 條</v>
      </c>
      <c r="B422" s="302" t="s">
        <v>858</v>
      </c>
    </row>
    <row r="423" spans="1:2" ht="18" x14ac:dyDescent="0.4">
      <c r="A423" s="299" t="str">
        <f t="shared" si="6"/>
        <v/>
      </c>
      <c r="B423" s="302" t="s">
        <v>859</v>
      </c>
    </row>
    <row r="424" spans="1:2" ht="18" x14ac:dyDescent="0.4">
      <c r="A424" s="299" t="str">
        <f t="shared" si="6"/>
        <v/>
      </c>
      <c r="B424" s="302" t="s">
        <v>860</v>
      </c>
    </row>
    <row r="425" spans="1:2" ht="18" x14ac:dyDescent="0.4">
      <c r="A425" s="299" t="str">
        <f t="shared" si="6"/>
        <v/>
      </c>
      <c r="B425" s="302" t="s">
        <v>861</v>
      </c>
    </row>
    <row r="426" spans="1:2" ht="18" x14ac:dyDescent="0.4">
      <c r="A426" s="299" t="str">
        <f t="shared" si="6"/>
        <v/>
      </c>
      <c r="B426" s="302" t="s">
        <v>862</v>
      </c>
    </row>
    <row r="427" spans="1:2" ht="18" x14ac:dyDescent="0.4">
      <c r="A427" s="299" t="str">
        <f t="shared" si="6"/>
        <v/>
      </c>
      <c r="B427" s="302" t="s">
        <v>863</v>
      </c>
    </row>
    <row r="428" spans="1:2" ht="18" x14ac:dyDescent="0.4">
      <c r="A428" s="299" t="str">
        <f t="shared" si="6"/>
        <v/>
      </c>
      <c r="B428" s="302" t="s">
        <v>864</v>
      </c>
    </row>
    <row r="429" spans="1:2" ht="18" x14ac:dyDescent="0.4">
      <c r="A429" s="299" t="str">
        <f t="shared" si="6"/>
        <v/>
      </c>
      <c r="B429" s="302" t="s">
        <v>865</v>
      </c>
    </row>
    <row r="430" spans="1:2" ht="18" x14ac:dyDescent="0.4">
      <c r="A430" s="299"/>
      <c r="B430" s="302" t="s">
        <v>866</v>
      </c>
    </row>
    <row r="431" spans="1:2" ht="18" x14ac:dyDescent="0.4">
      <c r="A431" s="299" t="str">
        <f t="shared" si="6"/>
        <v/>
      </c>
      <c r="B431" s="302" t="s">
        <v>867</v>
      </c>
    </row>
    <row r="432" spans="1:2" ht="18" x14ac:dyDescent="0.4">
      <c r="A432" s="299" t="str">
        <f t="shared" si="6"/>
        <v/>
      </c>
      <c r="B432" s="302" t="s">
        <v>868</v>
      </c>
    </row>
    <row r="433" spans="1:2" ht="18" x14ac:dyDescent="0.4">
      <c r="A433" s="299" t="str">
        <f t="shared" si="6"/>
        <v>第 56 條</v>
      </c>
      <c r="B433" s="302" t="s">
        <v>869</v>
      </c>
    </row>
    <row r="434" spans="1:2" ht="18" x14ac:dyDescent="0.4">
      <c r="A434" s="299" t="str">
        <f t="shared" si="6"/>
        <v/>
      </c>
      <c r="B434" s="302" t="s">
        <v>870</v>
      </c>
    </row>
    <row r="435" spans="1:2" ht="18" x14ac:dyDescent="0.4">
      <c r="A435" s="299" t="str">
        <f t="shared" si="6"/>
        <v/>
      </c>
      <c r="B435" s="302" t="s">
        <v>871</v>
      </c>
    </row>
    <row r="436" spans="1:2" ht="18" x14ac:dyDescent="0.4">
      <c r="A436" s="299" t="str">
        <f t="shared" si="6"/>
        <v/>
      </c>
      <c r="B436" s="302" t="s">
        <v>650</v>
      </c>
    </row>
    <row r="437" spans="1:2" ht="18" x14ac:dyDescent="0.4">
      <c r="A437" s="299" t="str">
        <f t="shared" si="6"/>
        <v/>
      </c>
      <c r="B437" s="302" t="s">
        <v>872</v>
      </c>
    </row>
    <row r="438" spans="1:2" ht="18" x14ac:dyDescent="0.4">
      <c r="A438" s="299" t="str">
        <f t="shared" si="6"/>
        <v/>
      </c>
      <c r="B438" s="302" t="s">
        <v>873</v>
      </c>
    </row>
    <row r="439" spans="1:2" ht="18" x14ac:dyDescent="0.4">
      <c r="A439" s="299" t="str">
        <f t="shared" si="6"/>
        <v/>
      </c>
      <c r="B439" s="302" t="s">
        <v>874</v>
      </c>
    </row>
    <row r="440" spans="1:2" ht="18" x14ac:dyDescent="0.4">
      <c r="A440" s="299" t="str">
        <f t="shared" si="6"/>
        <v/>
      </c>
      <c r="B440" s="302" t="s">
        <v>875</v>
      </c>
    </row>
    <row r="441" spans="1:2" ht="18" x14ac:dyDescent="0.4">
      <c r="A441" s="299" t="str">
        <f t="shared" si="6"/>
        <v/>
      </c>
      <c r="B441" s="302" t="s">
        <v>876</v>
      </c>
    </row>
    <row r="442" spans="1:2" ht="18" x14ac:dyDescent="0.4">
      <c r="A442" s="299"/>
      <c r="B442" s="302" t="s">
        <v>877</v>
      </c>
    </row>
    <row r="443" spans="1:2" ht="18" x14ac:dyDescent="0.4">
      <c r="A443" s="299" t="str">
        <f t="shared" si="6"/>
        <v/>
      </c>
      <c r="B443" s="302" t="s">
        <v>62</v>
      </c>
    </row>
    <row r="444" spans="1:2" ht="18" x14ac:dyDescent="0.4">
      <c r="A444" s="299" t="str">
        <f t="shared" si="6"/>
        <v/>
      </c>
      <c r="B444" s="302" t="s">
        <v>878</v>
      </c>
    </row>
    <row r="445" spans="1:2" ht="18" x14ac:dyDescent="0.4">
      <c r="A445" s="299" t="str">
        <f t="shared" si="6"/>
        <v/>
      </c>
      <c r="B445" s="302" t="s">
        <v>879</v>
      </c>
    </row>
    <row r="446" spans="1:2" ht="18" x14ac:dyDescent="0.4">
      <c r="A446" s="299" t="str">
        <f t="shared" si="6"/>
        <v/>
      </c>
      <c r="B446" s="302" t="s">
        <v>880</v>
      </c>
    </row>
    <row r="447" spans="1:2" ht="18" x14ac:dyDescent="0.4">
      <c r="A447" s="299" t="str">
        <f t="shared" si="6"/>
        <v/>
      </c>
      <c r="B447" s="302" t="s">
        <v>881</v>
      </c>
    </row>
    <row r="448" spans="1:2" ht="18" x14ac:dyDescent="0.4">
      <c r="A448" s="299" t="str">
        <f t="shared" si="6"/>
        <v/>
      </c>
      <c r="B448" s="302" t="s">
        <v>882</v>
      </c>
    </row>
    <row r="449" spans="1:2" ht="18" x14ac:dyDescent="0.4">
      <c r="A449" s="299" t="str">
        <f t="shared" si="6"/>
        <v/>
      </c>
      <c r="B449" s="302" t="s">
        <v>883</v>
      </c>
    </row>
    <row r="450" spans="1:2" ht="18" x14ac:dyDescent="0.4">
      <c r="A450" s="299" t="str">
        <f t="shared" si="6"/>
        <v/>
      </c>
      <c r="B450" s="302" t="s">
        <v>884</v>
      </c>
    </row>
    <row r="451" spans="1:2" ht="18" x14ac:dyDescent="0.4">
      <c r="A451" s="299" t="str">
        <f t="shared" si="6"/>
        <v/>
      </c>
      <c r="B451" s="302" t="s">
        <v>885</v>
      </c>
    </row>
    <row r="452" spans="1:2" ht="18" x14ac:dyDescent="0.4">
      <c r="A452" s="299" t="str">
        <f t="shared" si="6"/>
        <v/>
      </c>
      <c r="B452" s="302" t="s">
        <v>886</v>
      </c>
    </row>
    <row r="453" spans="1:2" ht="18" x14ac:dyDescent="0.4">
      <c r="A453" s="299" t="str">
        <f t="shared" si="6"/>
        <v/>
      </c>
      <c r="B453" s="302" t="s">
        <v>887</v>
      </c>
    </row>
    <row r="454" spans="1:2" ht="18" x14ac:dyDescent="0.4">
      <c r="A454" s="299" t="str">
        <f t="shared" ref="A454:A517" si="7">IF(LEFT(B453,1)="第",B453,"")</f>
        <v/>
      </c>
      <c r="B454" s="302" t="s">
        <v>888</v>
      </c>
    </row>
    <row r="455" spans="1:2" ht="18" x14ac:dyDescent="0.4">
      <c r="A455" s="299" t="str">
        <f t="shared" si="7"/>
        <v/>
      </c>
      <c r="B455" s="302" t="s">
        <v>889</v>
      </c>
    </row>
    <row r="456" spans="1:2" ht="18" x14ac:dyDescent="0.4">
      <c r="A456" s="299" t="str">
        <f t="shared" si="7"/>
        <v/>
      </c>
      <c r="B456" s="302" t="s">
        <v>890</v>
      </c>
    </row>
    <row r="457" spans="1:2" ht="18" x14ac:dyDescent="0.4">
      <c r="A457" s="299" t="str">
        <f t="shared" si="7"/>
        <v/>
      </c>
      <c r="B457" s="302" t="s">
        <v>891</v>
      </c>
    </row>
    <row r="458" spans="1:2" ht="18" x14ac:dyDescent="0.4">
      <c r="A458" s="299" t="str">
        <f t="shared" si="7"/>
        <v/>
      </c>
      <c r="B458" s="302" t="s">
        <v>892</v>
      </c>
    </row>
    <row r="459" spans="1:2" ht="18" x14ac:dyDescent="0.4">
      <c r="A459" s="299" t="str">
        <f t="shared" si="7"/>
        <v/>
      </c>
      <c r="B459" s="302" t="s">
        <v>893</v>
      </c>
    </row>
    <row r="460" spans="1:2" ht="18" x14ac:dyDescent="0.4">
      <c r="A460" s="299" t="str">
        <f t="shared" si="7"/>
        <v>第 57 條</v>
      </c>
      <c r="B460" s="302" t="s">
        <v>894</v>
      </c>
    </row>
    <row r="461" spans="1:2" ht="18" x14ac:dyDescent="0.4">
      <c r="A461" s="299" t="str">
        <f t="shared" si="7"/>
        <v/>
      </c>
      <c r="B461" s="302" t="s">
        <v>895</v>
      </c>
    </row>
    <row r="462" spans="1:2" ht="18" x14ac:dyDescent="0.4">
      <c r="A462" s="299" t="str">
        <f t="shared" si="7"/>
        <v/>
      </c>
      <c r="B462" s="302" t="s">
        <v>896</v>
      </c>
    </row>
    <row r="463" spans="1:2" ht="18" x14ac:dyDescent="0.4">
      <c r="A463" s="299" t="str">
        <f t="shared" si="7"/>
        <v>第 58 條</v>
      </c>
      <c r="B463" s="302" t="s">
        <v>897</v>
      </c>
    </row>
    <row r="464" spans="1:2" ht="18" x14ac:dyDescent="0.4">
      <c r="A464" s="299" t="str">
        <f t="shared" si="7"/>
        <v/>
      </c>
      <c r="B464" s="302" t="s">
        <v>898</v>
      </c>
    </row>
    <row r="465" spans="1:2" ht="18" x14ac:dyDescent="0.4">
      <c r="A465" s="299" t="str">
        <f t="shared" si="7"/>
        <v/>
      </c>
      <c r="B465" s="302" t="s">
        <v>899</v>
      </c>
    </row>
    <row r="466" spans="1:2" ht="18" x14ac:dyDescent="0.4">
      <c r="A466" s="299" t="str">
        <f t="shared" si="7"/>
        <v/>
      </c>
      <c r="B466" s="302" t="s">
        <v>900</v>
      </c>
    </row>
    <row r="467" spans="1:2" ht="18" x14ac:dyDescent="0.4">
      <c r="A467" s="299" t="str">
        <f t="shared" si="7"/>
        <v/>
      </c>
      <c r="B467" s="302" t="s">
        <v>901</v>
      </c>
    </row>
    <row r="468" spans="1:2" ht="18.5" x14ac:dyDescent="0.4">
      <c r="A468" s="299" t="str">
        <f t="shared" si="7"/>
        <v/>
      </c>
      <c r="B468" s="301" t="s">
        <v>429</v>
      </c>
    </row>
    <row r="469" spans="1:2" ht="18" x14ac:dyDescent="0.4">
      <c r="A469" s="299"/>
      <c r="B469" s="302" t="s">
        <v>902</v>
      </c>
    </row>
    <row r="470" spans="1:2" ht="18" x14ac:dyDescent="0.4">
      <c r="A470" s="299" t="str">
        <f t="shared" si="7"/>
        <v>第 59 條</v>
      </c>
      <c r="B470" s="302" t="s">
        <v>903</v>
      </c>
    </row>
    <row r="471" spans="1:2" ht="18" x14ac:dyDescent="0.4">
      <c r="A471" s="299" t="str">
        <f t="shared" si="7"/>
        <v/>
      </c>
      <c r="B471" s="302" t="s">
        <v>904</v>
      </c>
    </row>
    <row r="472" spans="1:2" ht="18" x14ac:dyDescent="0.4">
      <c r="A472" s="299" t="str">
        <f t="shared" si="7"/>
        <v/>
      </c>
      <c r="B472" s="302" t="s">
        <v>905</v>
      </c>
    </row>
    <row r="473" spans="1:2" ht="18" x14ac:dyDescent="0.4">
      <c r="A473" s="299" t="str">
        <f t="shared" si="7"/>
        <v/>
      </c>
      <c r="B473" s="302" t="s">
        <v>906</v>
      </c>
    </row>
    <row r="474" spans="1:2" ht="18" x14ac:dyDescent="0.4">
      <c r="A474" s="299" t="str">
        <f t="shared" si="7"/>
        <v/>
      </c>
      <c r="B474" s="302" t="s">
        <v>907</v>
      </c>
    </row>
    <row r="475" spans="1:2" ht="18" x14ac:dyDescent="0.4">
      <c r="A475" s="299" t="str">
        <f t="shared" si="7"/>
        <v/>
      </c>
      <c r="B475" s="302" t="s">
        <v>908</v>
      </c>
    </row>
    <row r="476" spans="1:2" ht="18" x14ac:dyDescent="0.4">
      <c r="A476" s="299" t="str">
        <f t="shared" si="7"/>
        <v/>
      </c>
      <c r="B476" s="302" t="s">
        <v>909</v>
      </c>
    </row>
    <row r="477" spans="1:2" ht="18" x14ac:dyDescent="0.4">
      <c r="A477" s="299" t="str">
        <f t="shared" si="7"/>
        <v/>
      </c>
      <c r="B477" s="302" t="s">
        <v>910</v>
      </c>
    </row>
    <row r="478" spans="1:2" ht="18" x14ac:dyDescent="0.4">
      <c r="A478" s="299" t="str">
        <f t="shared" si="7"/>
        <v/>
      </c>
      <c r="B478" s="302" t="s">
        <v>911</v>
      </c>
    </row>
    <row r="479" spans="1:2" ht="18" x14ac:dyDescent="0.4">
      <c r="A479" s="299" t="str">
        <f t="shared" si="7"/>
        <v/>
      </c>
      <c r="B479" s="302" t="s">
        <v>912</v>
      </c>
    </row>
    <row r="480" spans="1:2" ht="18" x14ac:dyDescent="0.4">
      <c r="A480" s="299" t="str">
        <f t="shared" si="7"/>
        <v/>
      </c>
      <c r="B480" s="302" t="s">
        <v>913</v>
      </c>
    </row>
    <row r="481" spans="1:2" ht="18" x14ac:dyDescent="0.4">
      <c r="A481" s="299" t="str">
        <f t="shared" si="7"/>
        <v/>
      </c>
      <c r="B481" s="302" t="s">
        <v>914</v>
      </c>
    </row>
    <row r="482" spans="1:2" ht="18" x14ac:dyDescent="0.4">
      <c r="A482" s="299" t="str">
        <f t="shared" si="7"/>
        <v/>
      </c>
      <c r="B482" s="302" t="s">
        <v>915</v>
      </c>
    </row>
    <row r="483" spans="1:2" ht="18" x14ac:dyDescent="0.4">
      <c r="A483" s="299" t="str">
        <f t="shared" si="7"/>
        <v/>
      </c>
      <c r="B483" s="302" t="s">
        <v>916</v>
      </c>
    </row>
    <row r="484" spans="1:2" ht="18" x14ac:dyDescent="0.4">
      <c r="A484" s="299" t="str">
        <f t="shared" si="7"/>
        <v/>
      </c>
      <c r="B484" s="302" t="s">
        <v>917</v>
      </c>
    </row>
    <row r="485" spans="1:2" ht="18" x14ac:dyDescent="0.4">
      <c r="A485" s="299" t="str">
        <f t="shared" si="7"/>
        <v/>
      </c>
      <c r="B485" s="302" t="s">
        <v>918</v>
      </c>
    </row>
    <row r="486" spans="1:2" ht="18" x14ac:dyDescent="0.4">
      <c r="A486" s="299" t="str">
        <f t="shared" si="7"/>
        <v/>
      </c>
      <c r="B486" s="302" t="s">
        <v>919</v>
      </c>
    </row>
    <row r="487" spans="1:2" ht="18" x14ac:dyDescent="0.4">
      <c r="A487" s="299" t="str">
        <f t="shared" si="7"/>
        <v/>
      </c>
      <c r="B487" s="302" t="s">
        <v>920</v>
      </c>
    </row>
    <row r="488" spans="1:2" ht="18" x14ac:dyDescent="0.4">
      <c r="A488" s="299" t="str">
        <f t="shared" si="7"/>
        <v/>
      </c>
      <c r="B488" s="302" t="s">
        <v>921</v>
      </c>
    </row>
    <row r="489" spans="1:2" ht="18" x14ac:dyDescent="0.4">
      <c r="A489" s="299" t="str">
        <f t="shared" si="7"/>
        <v/>
      </c>
      <c r="B489" s="302" t="s">
        <v>922</v>
      </c>
    </row>
    <row r="490" spans="1:2" ht="18" x14ac:dyDescent="0.4">
      <c r="A490" s="299" t="str">
        <f t="shared" si="7"/>
        <v/>
      </c>
      <c r="B490" s="302" t="s">
        <v>923</v>
      </c>
    </row>
    <row r="491" spans="1:2" ht="18" x14ac:dyDescent="0.4">
      <c r="A491" s="299" t="str">
        <f t="shared" si="7"/>
        <v>第 60 條</v>
      </c>
      <c r="B491" s="302" t="s">
        <v>924</v>
      </c>
    </row>
    <row r="492" spans="1:2" ht="18" x14ac:dyDescent="0.4">
      <c r="A492" s="299" t="str">
        <f t="shared" si="7"/>
        <v/>
      </c>
      <c r="B492" s="302" t="s">
        <v>25</v>
      </c>
    </row>
    <row r="493" spans="1:2" ht="18" x14ac:dyDescent="0.4">
      <c r="A493" s="299" t="str">
        <f t="shared" si="7"/>
        <v/>
      </c>
      <c r="B493" s="302" t="s">
        <v>925</v>
      </c>
    </row>
    <row r="494" spans="1:2" ht="18" x14ac:dyDescent="0.4">
      <c r="A494" s="299" t="str">
        <f t="shared" si="7"/>
        <v>第 61 條</v>
      </c>
      <c r="B494" s="302" t="s">
        <v>926</v>
      </c>
    </row>
    <row r="495" spans="1:2" ht="18" x14ac:dyDescent="0.4">
      <c r="A495" s="299"/>
      <c r="B495" s="302" t="s">
        <v>927</v>
      </c>
    </row>
    <row r="496" spans="1:2" ht="18" x14ac:dyDescent="0.4">
      <c r="A496" s="299" t="str">
        <f t="shared" si="7"/>
        <v/>
      </c>
      <c r="B496" s="302" t="s">
        <v>928</v>
      </c>
    </row>
    <row r="497" spans="1:2" ht="18" x14ac:dyDescent="0.4">
      <c r="A497" s="299" t="str">
        <f t="shared" si="7"/>
        <v/>
      </c>
      <c r="B497" s="302" t="s">
        <v>929</v>
      </c>
    </row>
    <row r="498" spans="1:2" ht="18" x14ac:dyDescent="0.4">
      <c r="A498" s="299" t="str">
        <f t="shared" si="7"/>
        <v/>
      </c>
      <c r="B498" s="302" t="s">
        <v>930</v>
      </c>
    </row>
    <row r="499" spans="1:2" ht="18" x14ac:dyDescent="0.4">
      <c r="A499" s="299" t="str">
        <f t="shared" si="7"/>
        <v/>
      </c>
      <c r="B499" s="302" t="s">
        <v>901</v>
      </c>
    </row>
    <row r="500" spans="1:2" ht="18" x14ac:dyDescent="0.4">
      <c r="A500" s="299" t="str">
        <f t="shared" si="7"/>
        <v/>
      </c>
      <c r="B500" s="302" t="s">
        <v>931</v>
      </c>
    </row>
    <row r="501" spans="1:2" ht="18" x14ac:dyDescent="0.4">
      <c r="A501" s="299" t="str">
        <f t="shared" si="7"/>
        <v>第 62 條</v>
      </c>
      <c r="B501" s="302" t="s">
        <v>932</v>
      </c>
    </row>
    <row r="502" spans="1:2" ht="18" x14ac:dyDescent="0.4">
      <c r="A502" s="299" t="str">
        <f t="shared" si="7"/>
        <v/>
      </c>
      <c r="B502" s="302" t="s">
        <v>933</v>
      </c>
    </row>
    <row r="503" spans="1:2" ht="18" x14ac:dyDescent="0.4">
      <c r="A503" s="299" t="str">
        <f t="shared" si="7"/>
        <v/>
      </c>
      <c r="B503" s="302" t="s">
        <v>934</v>
      </c>
    </row>
    <row r="504" spans="1:2" ht="18" x14ac:dyDescent="0.4">
      <c r="A504" s="299" t="str">
        <f t="shared" si="7"/>
        <v/>
      </c>
      <c r="B504" s="302" t="s">
        <v>935</v>
      </c>
    </row>
    <row r="505" spans="1:2" ht="18" x14ac:dyDescent="0.4">
      <c r="A505" s="299" t="str">
        <f t="shared" si="7"/>
        <v/>
      </c>
      <c r="B505" s="302" t="s">
        <v>936</v>
      </c>
    </row>
    <row r="506" spans="1:2" ht="18" x14ac:dyDescent="0.4">
      <c r="A506" s="299" t="str">
        <f t="shared" si="7"/>
        <v/>
      </c>
      <c r="B506" s="302" t="s">
        <v>937</v>
      </c>
    </row>
    <row r="507" spans="1:2" ht="18" x14ac:dyDescent="0.4">
      <c r="A507" s="299" t="str">
        <f t="shared" si="7"/>
        <v>第 63 條</v>
      </c>
      <c r="B507" s="302" t="s">
        <v>938</v>
      </c>
    </row>
    <row r="508" spans="1:2" ht="18" x14ac:dyDescent="0.4">
      <c r="A508" s="299" t="str">
        <f t="shared" si="7"/>
        <v/>
      </c>
      <c r="B508" s="302" t="s">
        <v>939</v>
      </c>
    </row>
    <row r="509" spans="1:2" ht="18" x14ac:dyDescent="0.4">
      <c r="A509" s="299" t="str">
        <f t="shared" si="7"/>
        <v/>
      </c>
      <c r="B509" s="302" t="s">
        <v>940</v>
      </c>
    </row>
    <row r="510" spans="1:2" ht="18" x14ac:dyDescent="0.4">
      <c r="A510" s="299" t="str">
        <f t="shared" si="7"/>
        <v/>
      </c>
      <c r="B510" s="302" t="s">
        <v>941</v>
      </c>
    </row>
    <row r="511" spans="1:2" ht="18" x14ac:dyDescent="0.4">
      <c r="A511" s="299" t="str">
        <f t="shared" si="7"/>
        <v/>
      </c>
      <c r="B511" s="302" t="s">
        <v>942</v>
      </c>
    </row>
    <row r="512" spans="1:2" ht="18" x14ac:dyDescent="0.4">
      <c r="A512" s="299" t="str">
        <f t="shared" si="7"/>
        <v/>
      </c>
      <c r="B512" s="302" t="s">
        <v>943</v>
      </c>
    </row>
    <row r="513" spans="1:2" ht="18.5" x14ac:dyDescent="0.4">
      <c r="A513" s="299" t="str">
        <f t="shared" si="7"/>
        <v/>
      </c>
      <c r="B513" s="301" t="s">
        <v>446</v>
      </c>
    </row>
    <row r="514" spans="1:2" ht="18" x14ac:dyDescent="0.4">
      <c r="A514" s="299"/>
      <c r="B514" s="302" t="s">
        <v>944</v>
      </c>
    </row>
    <row r="515" spans="1:2" ht="18" x14ac:dyDescent="0.4">
      <c r="A515" s="299" t="str">
        <f t="shared" si="7"/>
        <v>第 64 條</v>
      </c>
      <c r="B515" s="302" t="s">
        <v>945</v>
      </c>
    </row>
    <row r="516" spans="1:2" ht="18" x14ac:dyDescent="0.4">
      <c r="A516" s="299" t="str">
        <f t="shared" si="7"/>
        <v/>
      </c>
      <c r="B516" s="302" t="s">
        <v>946</v>
      </c>
    </row>
    <row r="517" spans="1:2" ht="18" x14ac:dyDescent="0.4">
      <c r="A517" s="299" t="str">
        <f t="shared" si="7"/>
        <v/>
      </c>
      <c r="B517" s="302" t="s">
        <v>947</v>
      </c>
    </row>
    <row r="518" spans="1:2" ht="18" x14ac:dyDescent="0.4">
      <c r="A518" s="299" t="str">
        <f t="shared" ref="A518:A581" si="8">IF(LEFT(B517,1)="第",B517,"")</f>
        <v/>
      </c>
      <c r="B518" s="302" t="s">
        <v>948</v>
      </c>
    </row>
    <row r="519" spans="1:2" ht="18" x14ac:dyDescent="0.4">
      <c r="A519" s="299" t="str">
        <f t="shared" si="8"/>
        <v/>
      </c>
      <c r="B519" s="302" t="s">
        <v>949</v>
      </c>
    </row>
    <row r="520" spans="1:2" ht="18" x14ac:dyDescent="0.4">
      <c r="A520" s="299" t="str">
        <f t="shared" si="8"/>
        <v/>
      </c>
      <c r="B520" s="302" t="s">
        <v>950</v>
      </c>
    </row>
    <row r="521" spans="1:2" ht="18" x14ac:dyDescent="0.4">
      <c r="A521" s="299" t="str">
        <f t="shared" si="8"/>
        <v>第 65 條</v>
      </c>
      <c r="B521" s="302" t="s">
        <v>951</v>
      </c>
    </row>
    <row r="522" spans="1:2" ht="18" x14ac:dyDescent="0.4">
      <c r="A522" s="299" t="str">
        <f t="shared" si="8"/>
        <v/>
      </c>
      <c r="B522" s="302" t="s">
        <v>952</v>
      </c>
    </row>
    <row r="523" spans="1:2" ht="18" x14ac:dyDescent="0.4">
      <c r="A523" s="299" t="str">
        <f t="shared" si="8"/>
        <v/>
      </c>
      <c r="B523" s="302" t="s">
        <v>953</v>
      </c>
    </row>
    <row r="524" spans="1:2" ht="18" x14ac:dyDescent="0.4">
      <c r="A524" s="299" t="str">
        <f t="shared" si="8"/>
        <v/>
      </c>
      <c r="B524" s="302" t="s">
        <v>954</v>
      </c>
    </row>
    <row r="525" spans="1:2" ht="18" x14ac:dyDescent="0.4">
      <c r="A525" s="299" t="str">
        <f t="shared" si="8"/>
        <v/>
      </c>
      <c r="B525" s="302" t="s">
        <v>955</v>
      </c>
    </row>
    <row r="526" spans="1:2" ht="18" x14ac:dyDescent="0.4">
      <c r="A526" s="299" t="str">
        <f t="shared" si="8"/>
        <v/>
      </c>
      <c r="B526" s="302" t="s">
        <v>956</v>
      </c>
    </row>
    <row r="527" spans="1:2" ht="18" x14ac:dyDescent="0.4">
      <c r="A527" s="299" t="str">
        <f t="shared" si="8"/>
        <v>第 66 條</v>
      </c>
      <c r="B527" s="302" t="s">
        <v>957</v>
      </c>
    </row>
    <row r="528" spans="1:2" ht="18" x14ac:dyDescent="0.4">
      <c r="A528" s="299" t="str">
        <f t="shared" si="8"/>
        <v/>
      </c>
      <c r="B528" s="302" t="s">
        <v>958</v>
      </c>
    </row>
    <row r="529" spans="1:2" ht="18" x14ac:dyDescent="0.4">
      <c r="A529" s="299" t="str">
        <f t="shared" si="8"/>
        <v>第 67 條</v>
      </c>
      <c r="B529" s="302" t="s">
        <v>959</v>
      </c>
    </row>
    <row r="530" spans="1:2" ht="18" x14ac:dyDescent="0.4">
      <c r="A530" s="299" t="str">
        <f t="shared" si="8"/>
        <v/>
      </c>
      <c r="B530" s="302" t="s">
        <v>960</v>
      </c>
    </row>
    <row r="531" spans="1:2" ht="18" x14ac:dyDescent="0.4">
      <c r="A531" s="299" t="str">
        <f t="shared" si="8"/>
        <v/>
      </c>
      <c r="B531" s="302" t="s">
        <v>961</v>
      </c>
    </row>
    <row r="532" spans="1:2" ht="18" x14ac:dyDescent="0.4">
      <c r="A532" s="299" t="str">
        <f t="shared" si="8"/>
        <v>第 68 條</v>
      </c>
      <c r="B532" s="302" t="s">
        <v>962</v>
      </c>
    </row>
    <row r="533" spans="1:2" ht="18" x14ac:dyDescent="0.4">
      <c r="A533" s="299" t="str">
        <f t="shared" si="8"/>
        <v/>
      </c>
      <c r="B533" s="302" t="s">
        <v>963</v>
      </c>
    </row>
    <row r="534" spans="1:2" ht="18" x14ac:dyDescent="0.4">
      <c r="A534" s="299" t="str">
        <f t="shared" si="8"/>
        <v/>
      </c>
      <c r="B534" s="302" t="s">
        <v>964</v>
      </c>
    </row>
    <row r="535" spans="1:2" ht="18" x14ac:dyDescent="0.4">
      <c r="A535" s="299" t="str">
        <f t="shared" si="8"/>
        <v>第 69 條</v>
      </c>
      <c r="B535" s="302" t="s">
        <v>965</v>
      </c>
    </row>
    <row r="536" spans="1:2" ht="18" x14ac:dyDescent="0.4">
      <c r="A536" s="299" t="str">
        <f t="shared" si="8"/>
        <v/>
      </c>
      <c r="B536" s="302" t="s">
        <v>966</v>
      </c>
    </row>
    <row r="537" spans="1:2" ht="18" x14ac:dyDescent="0.4">
      <c r="A537" s="299" t="str">
        <f t="shared" si="8"/>
        <v/>
      </c>
      <c r="B537" s="302" t="s">
        <v>967</v>
      </c>
    </row>
    <row r="538" spans="1:2" ht="18.5" x14ac:dyDescent="0.4">
      <c r="A538" s="299" t="str">
        <f t="shared" si="8"/>
        <v/>
      </c>
      <c r="B538" s="301" t="s">
        <v>450</v>
      </c>
    </row>
    <row r="539" spans="1:2" ht="18" x14ac:dyDescent="0.4">
      <c r="A539" s="299"/>
      <c r="B539" s="302" t="s">
        <v>968</v>
      </c>
    </row>
    <row r="540" spans="1:2" ht="18" x14ac:dyDescent="0.4">
      <c r="A540" s="299" t="str">
        <f t="shared" si="8"/>
        <v>第 70 條</v>
      </c>
      <c r="B540" s="302" t="s">
        <v>969</v>
      </c>
    </row>
    <row r="541" spans="1:2" ht="18" x14ac:dyDescent="0.4">
      <c r="A541" s="299" t="str">
        <f t="shared" si="8"/>
        <v/>
      </c>
      <c r="B541" s="302" t="s">
        <v>970</v>
      </c>
    </row>
    <row r="542" spans="1:2" ht="18" x14ac:dyDescent="0.4">
      <c r="A542" s="299" t="str">
        <f t="shared" si="8"/>
        <v/>
      </c>
      <c r="B542" s="302" t="s">
        <v>971</v>
      </c>
    </row>
    <row r="543" spans="1:2" ht="18" x14ac:dyDescent="0.4">
      <c r="A543" s="299" t="str">
        <f t="shared" si="8"/>
        <v/>
      </c>
      <c r="B543" s="302" t="s">
        <v>972</v>
      </c>
    </row>
    <row r="544" spans="1:2" ht="18" x14ac:dyDescent="0.4">
      <c r="A544" s="299" t="str">
        <f t="shared" si="8"/>
        <v/>
      </c>
      <c r="B544" s="302" t="s">
        <v>973</v>
      </c>
    </row>
    <row r="545" spans="1:2" ht="18" x14ac:dyDescent="0.4">
      <c r="A545" s="299" t="str">
        <f t="shared" si="8"/>
        <v/>
      </c>
      <c r="B545" s="302" t="s">
        <v>974</v>
      </c>
    </row>
    <row r="546" spans="1:2" ht="18" x14ac:dyDescent="0.4">
      <c r="A546" s="299" t="str">
        <f t="shared" si="8"/>
        <v/>
      </c>
      <c r="B546" s="302" t="s">
        <v>975</v>
      </c>
    </row>
    <row r="547" spans="1:2" ht="18" x14ac:dyDescent="0.4">
      <c r="A547" s="299" t="str">
        <f t="shared" si="8"/>
        <v/>
      </c>
      <c r="B547" s="302" t="s">
        <v>976</v>
      </c>
    </row>
    <row r="548" spans="1:2" ht="18" x14ac:dyDescent="0.4">
      <c r="A548" s="299" t="str">
        <f t="shared" si="8"/>
        <v/>
      </c>
      <c r="B548" s="302" t="s">
        <v>977</v>
      </c>
    </row>
    <row r="549" spans="1:2" ht="18" x14ac:dyDescent="0.4">
      <c r="A549" s="299" t="str">
        <f t="shared" si="8"/>
        <v/>
      </c>
      <c r="B549" s="302" t="s">
        <v>978</v>
      </c>
    </row>
    <row r="550" spans="1:2" ht="18" x14ac:dyDescent="0.4">
      <c r="A550" s="299" t="str">
        <f t="shared" si="8"/>
        <v/>
      </c>
      <c r="B550" s="302" t="s">
        <v>979</v>
      </c>
    </row>
    <row r="551" spans="1:2" ht="18" x14ac:dyDescent="0.4">
      <c r="A551" s="299" t="str">
        <f t="shared" si="8"/>
        <v/>
      </c>
      <c r="B551" s="302" t="s">
        <v>980</v>
      </c>
    </row>
    <row r="552" spans="1:2" ht="18" x14ac:dyDescent="0.4">
      <c r="A552" s="299" t="str">
        <f t="shared" si="8"/>
        <v/>
      </c>
      <c r="B552" s="302" t="s">
        <v>981</v>
      </c>
    </row>
    <row r="553" spans="1:2" ht="18" x14ac:dyDescent="0.4">
      <c r="A553" s="299" t="str">
        <f t="shared" si="8"/>
        <v/>
      </c>
      <c r="B553" s="302" t="s">
        <v>982</v>
      </c>
    </row>
    <row r="554" spans="1:2" ht="18" x14ac:dyDescent="0.4">
      <c r="A554" s="299" t="str">
        <f t="shared" si="8"/>
        <v/>
      </c>
      <c r="B554" s="302" t="s">
        <v>983</v>
      </c>
    </row>
    <row r="555" spans="1:2" ht="18" x14ac:dyDescent="0.4">
      <c r="A555" s="299" t="str">
        <f t="shared" si="8"/>
        <v/>
      </c>
      <c r="B555" s="302" t="s">
        <v>984</v>
      </c>
    </row>
    <row r="556" spans="1:2" ht="18" x14ac:dyDescent="0.4">
      <c r="A556" s="299" t="str">
        <f t="shared" si="8"/>
        <v>第 71 條</v>
      </c>
      <c r="B556" s="302" t="s">
        <v>985</v>
      </c>
    </row>
    <row r="557" spans="1:2" ht="18" x14ac:dyDescent="0.4">
      <c r="A557" s="299" t="str">
        <f t="shared" si="8"/>
        <v/>
      </c>
      <c r="B557" s="302" t="s">
        <v>986</v>
      </c>
    </row>
    <row r="558" spans="1:2" ht="18.5" x14ac:dyDescent="0.4">
      <c r="A558" s="299" t="str">
        <f t="shared" si="8"/>
        <v/>
      </c>
      <c r="B558" s="301" t="s">
        <v>987</v>
      </c>
    </row>
    <row r="559" spans="1:2" ht="18" x14ac:dyDescent="0.4">
      <c r="A559" s="299"/>
      <c r="B559" s="302" t="s">
        <v>988</v>
      </c>
    </row>
    <row r="560" spans="1:2" ht="18" x14ac:dyDescent="0.4">
      <c r="A560" s="299" t="str">
        <f t="shared" si="8"/>
        <v>第 72 條</v>
      </c>
      <c r="B560" s="302" t="s">
        <v>989</v>
      </c>
    </row>
    <row r="561" spans="1:2" ht="18" x14ac:dyDescent="0.4">
      <c r="A561" s="299" t="str">
        <f t="shared" si="8"/>
        <v/>
      </c>
      <c r="B561" s="302" t="s">
        <v>990</v>
      </c>
    </row>
    <row r="562" spans="1:2" ht="18" x14ac:dyDescent="0.4">
      <c r="A562" s="299" t="str">
        <f t="shared" si="8"/>
        <v/>
      </c>
      <c r="B562" s="302" t="s">
        <v>991</v>
      </c>
    </row>
    <row r="563" spans="1:2" ht="18" x14ac:dyDescent="0.4">
      <c r="A563" s="299" t="str">
        <f t="shared" si="8"/>
        <v/>
      </c>
      <c r="B563" s="302" t="s">
        <v>992</v>
      </c>
    </row>
    <row r="564" spans="1:2" ht="18" x14ac:dyDescent="0.4">
      <c r="A564" s="299" t="str">
        <f t="shared" si="8"/>
        <v/>
      </c>
      <c r="B564" s="302" t="s">
        <v>993</v>
      </c>
    </row>
    <row r="565" spans="1:2" ht="18" x14ac:dyDescent="0.4">
      <c r="A565" s="299" t="str">
        <f t="shared" si="8"/>
        <v>第 73 條</v>
      </c>
      <c r="B565" s="302" t="s">
        <v>994</v>
      </c>
    </row>
    <row r="566" spans="1:2" ht="18" x14ac:dyDescent="0.4">
      <c r="A566" s="299" t="str">
        <f t="shared" si="8"/>
        <v/>
      </c>
      <c r="B566" s="302" t="s">
        <v>995</v>
      </c>
    </row>
    <row r="567" spans="1:2" ht="18" x14ac:dyDescent="0.4">
      <c r="A567" s="299" t="str">
        <f t="shared" si="8"/>
        <v/>
      </c>
      <c r="B567" s="302" t="s">
        <v>996</v>
      </c>
    </row>
    <row r="568" spans="1:2" ht="18" x14ac:dyDescent="0.4">
      <c r="A568" s="299" t="str">
        <f t="shared" si="8"/>
        <v/>
      </c>
      <c r="B568" s="302" t="s">
        <v>997</v>
      </c>
    </row>
    <row r="569" spans="1:2" ht="18" x14ac:dyDescent="0.4">
      <c r="A569" s="299" t="str">
        <f t="shared" si="8"/>
        <v/>
      </c>
      <c r="B569" s="302" t="s">
        <v>998</v>
      </c>
    </row>
    <row r="570" spans="1:2" ht="18" x14ac:dyDescent="0.4">
      <c r="A570" s="299" t="str">
        <f t="shared" si="8"/>
        <v/>
      </c>
      <c r="B570" s="302" t="s">
        <v>999</v>
      </c>
    </row>
    <row r="571" spans="1:2" ht="18" x14ac:dyDescent="0.4">
      <c r="A571" s="299" t="str">
        <f t="shared" si="8"/>
        <v>第 74 條</v>
      </c>
      <c r="B571" s="302" t="s">
        <v>1000</v>
      </c>
    </row>
    <row r="572" spans="1:2" ht="18" x14ac:dyDescent="0.4">
      <c r="A572" s="299" t="str">
        <f t="shared" si="8"/>
        <v/>
      </c>
      <c r="B572" s="302" t="s">
        <v>1001</v>
      </c>
    </row>
    <row r="573" spans="1:2" ht="18" x14ac:dyDescent="0.4">
      <c r="A573" s="299" t="str">
        <f t="shared" si="8"/>
        <v/>
      </c>
      <c r="B573" s="302" t="s">
        <v>1002</v>
      </c>
    </row>
    <row r="574" spans="1:2" ht="18" x14ac:dyDescent="0.4">
      <c r="A574" s="299" t="str">
        <f t="shared" si="8"/>
        <v/>
      </c>
      <c r="B574" s="302" t="s">
        <v>1003</v>
      </c>
    </row>
    <row r="575" spans="1:2" ht="18" x14ac:dyDescent="0.4">
      <c r="A575" s="299" t="str">
        <f t="shared" si="8"/>
        <v/>
      </c>
      <c r="B575" s="302" t="s">
        <v>1004</v>
      </c>
    </row>
    <row r="576" spans="1:2" ht="18" x14ac:dyDescent="0.4">
      <c r="A576" s="299" t="str">
        <f t="shared" si="8"/>
        <v/>
      </c>
      <c r="B576" s="302" t="s">
        <v>1005</v>
      </c>
    </row>
    <row r="577" spans="1:2" ht="18" x14ac:dyDescent="0.4">
      <c r="A577" s="299" t="str">
        <f t="shared" si="8"/>
        <v/>
      </c>
      <c r="B577" s="302" t="s">
        <v>1006</v>
      </c>
    </row>
    <row r="578" spans="1:2" ht="18" x14ac:dyDescent="0.4">
      <c r="A578" s="299" t="str">
        <f t="shared" si="8"/>
        <v/>
      </c>
      <c r="B578" s="302" t="s">
        <v>1007</v>
      </c>
    </row>
    <row r="579" spans="1:2" ht="18" x14ac:dyDescent="0.4">
      <c r="A579" s="299" t="str">
        <f t="shared" si="8"/>
        <v/>
      </c>
      <c r="B579" s="302" t="s">
        <v>1008</v>
      </c>
    </row>
    <row r="580" spans="1:2" ht="18" x14ac:dyDescent="0.4">
      <c r="A580" s="299" t="str">
        <f t="shared" si="8"/>
        <v/>
      </c>
      <c r="B580" s="302" t="s">
        <v>1009</v>
      </c>
    </row>
    <row r="581" spans="1:2" ht="18" x14ac:dyDescent="0.4">
      <c r="A581" s="299" t="str">
        <f t="shared" si="8"/>
        <v/>
      </c>
      <c r="B581" s="302" t="s">
        <v>1010</v>
      </c>
    </row>
    <row r="582" spans="1:2" ht="18" x14ac:dyDescent="0.4">
      <c r="A582" s="299" t="str">
        <f t="shared" ref="A582:A645" si="9">IF(LEFT(B581,1)="第",B581,"")</f>
        <v/>
      </c>
      <c r="B582" s="302" t="s">
        <v>1011</v>
      </c>
    </row>
    <row r="583" spans="1:2" ht="18" x14ac:dyDescent="0.4">
      <c r="A583" s="299" t="str">
        <f t="shared" si="9"/>
        <v/>
      </c>
      <c r="B583" s="302" t="s">
        <v>1012</v>
      </c>
    </row>
    <row r="584" spans="1:2" ht="18.5" x14ac:dyDescent="0.4">
      <c r="A584" s="299" t="str">
        <f t="shared" si="9"/>
        <v/>
      </c>
      <c r="B584" s="301" t="s">
        <v>1013</v>
      </c>
    </row>
    <row r="585" spans="1:2" ht="18" x14ac:dyDescent="0.4">
      <c r="A585" s="299"/>
      <c r="B585" s="302" t="s">
        <v>1014</v>
      </c>
    </row>
    <row r="586" spans="1:2" ht="18" x14ac:dyDescent="0.4">
      <c r="A586" s="299" t="str">
        <f t="shared" si="9"/>
        <v>第 75 條</v>
      </c>
      <c r="B586" s="302" t="s">
        <v>1015</v>
      </c>
    </row>
    <row r="587" spans="1:2" ht="18" x14ac:dyDescent="0.4">
      <c r="A587" s="299" t="str">
        <f t="shared" si="9"/>
        <v/>
      </c>
      <c r="B587" s="302" t="s">
        <v>1016</v>
      </c>
    </row>
    <row r="588" spans="1:2" ht="18" x14ac:dyDescent="0.4">
      <c r="A588" s="299" t="str">
        <f t="shared" si="9"/>
        <v/>
      </c>
      <c r="B588" s="302" t="s">
        <v>1017</v>
      </c>
    </row>
    <row r="589" spans="1:2" ht="18" x14ac:dyDescent="0.4">
      <c r="A589" s="299" t="str">
        <f t="shared" si="9"/>
        <v>第 76 條</v>
      </c>
      <c r="B589" s="302" t="s">
        <v>1018</v>
      </c>
    </row>
    <row r="590" spans="1:2" ht="18" x14ac:dyDescent="0.4">
      <c r="A590" s="299" t="str">
        <f t="shared" si="9"/>
        <v/>
      </c>
      <c r="B590" s="302" t="s">
        <v>1016</v>
      </c>
    </row>
    <row r="591" spans="1:2" ht="18" x14ac:dyDescent="0.4">
      <c r="A591" s="299" t="str">
        <f t="shared" si="9"/>
        <v/>
      </c>
      <c r="B591" s="302" t="s">
        <v>1019</v>
      </c>
    </row>
    <row r="592" spans="1:2" ht="18" x14ac:dyDescent="0.4">
      <c r="A592" s="299" t="str">
        <f t="shared" si="9"/>
        <v>第 77 條</v>
      </c>
      <c r="B592" s="302" t="s">
        <v>1020</v>
      </c>
    </row>
    <row r="593" spans="1:2" ht="18" x14ac:dyDescent="0.4">
      <c r="A593" s="299" t="str">
        <f t="shared" si="9"/>
        <v/>
      </c>
      <c r="B593" s="302" t="s">
        <v>1021</v>
      </c>
    </row>
    <row r="594" spans="1:2" ht="18" x14ac:dyDescent="0.4">
      <c r="A594" s="299"/>
      <c r="B594" s="302" t="s">
        <v>1022</v>
      </c>
    </row>
    <row r="595" spans="1:2" ht="18" x14ac:dyDescent="0.4">
      <c r="A595" s="299" t="str">
        <f t="shared" si="9"/>
        <v/>
      </c>
      <c r="B595" s="302" t="s">
        <v>1023</v>
      </c>
    </row>
    <row r="596" spans="1:2" ht="18" x14ac:dyDescent="0.4">
      <c r="A596" s="299" t="str">
        <f t="shared" si="9"/>
        <v>第 78 條</v>
      </c>
      <c r="B596" s="302" t="s">
        <v>1024</v>
      </c>
    </row>
    <row r="597" spans="1:2" ht="18" x14ac:dyDescent="0.4">
      <c r="A597" s="299" t="str">
        <f t="shared" si="9"/>
        <v/>
      </c>
      <c r="B597" s="302" t="s">
        <v>1025</v>
      </c>
    </row>
    <row r="598" spans="1:2" ht="18" x14ac:dyDescent="0.4">
      <c r="A598" s="299" t="str">
        <f t="shared" si="9"/>
        <v/>
      </c>
      <c r="B598" s="302" t="s">
        <v>1026</v>
      </c>
    </row>
    <row r="599" spans="1:2" ht="18" x14ac:dyDescent="0.4">
      <c r="A599" s="299" t="str">
        <f t="shared" si="9"/>
        <v/>
      </c>
      <c r="B599" s="302" t="s">
        <v>1027</v>
      </c>
    </row>
    <row r="600" spans="1:2" ht="18" x14ac:dyDescent="0.4">
      <c r="A600" s="299" t="str">
        <f t="shared" si="9"/>
        <v/>
      </c>
      <c r="B600" s="302" t="s">
        <v>1028</v>
      </c>
    </row>
    <row r="601" spans="1:2" ht="18" x14ac:dyDescent="0.4">
      <c r="A601" s="299" t="str">
        <f t="shared" si="9"/>
        <v/>
      </c>
      <c r="B601" s="302" t="s">
        <v>1029</v>
      </c>
    </row>
    <row r="602" spans="1:2" ht="18" x14ac:dyDescent="0.4">
      <c r="A602" s="299" t="str">
        <f t="shared" si="9"/>
        <v>第 79 條</v>
      </c>
      <c r="B602" s="302" t="s">
        <v>1030</v>
      </c>
    </row>
    <row r="603" spans="1:2" ht="18" x14ac:dyDescent="0.4">
      <c r="A603" s="299" t="str">
        <f t="shared" si="9"/>
        <v/>
      </c>
      <c r="B603" s="302" t="s">
        <v>1031</v>
      </c>
    </row>
    <row r="604" spans="1:2" ht="18" x14ac:dyDescent="0.4">
      <c r="A604" s="299" t="str">
        <f t="shared" si="9"/>
        <v/>
      </c>
      <c r="B604" s="302" t="s">
        <v>1032</v>
      </c>
    </row>
    <row r="605" spans="1:2" ht="18" x14ac:dyDescent="0.4">
      <c r="A605" s="299" t="str">
        <f t="shared" si="9"/>
        <v/>
      </c>
      <c r="B605" s="302" t="s">
        <v>1033</v>
      </c>
    </row>
    <row r="606" spans="1:2" ht="18" x14ac:dyDescent="0.4">
      <c r="A606" s="299" t="str">
        <f t="shared" si="9"/>
        <v/>
      </c>
      <c r="B606" s="302" t="s">
        <v>1034</v>
      </c>
    </row>
    <row r="607" spans="1:2" ht="18" x14ac:dyDescent="0.4">
      <c r="A607" s="299" t="str">
        <f t="shared" si="9"/>
        <v/>
      </c>
      <c r="B607" s="302" t="s">
        <v>1035</v>
      </c>
    </row>
    <row r="608" spans="1:2" ht="18" x14ac:dyDescent="0.4">
      <c r="A608" s="299" t="str">
        <f t="shared" si="9"/>
        <v/>
      </c>
      <c r="B608" s="302" t="s">
        <v>1036</v>
      </c>
    </row>
    <row r="609" spans="1:2" ht="18" x14ac:dyDescent="0.4">
      <c r="A609" s="299" t="str">
        <f t="shared" si="9"/>
        <v/>
      </c>
      <c r="B609" s="302" t="s">
        <v>1037</v>
      </c>
    </row>
    <row r="610" spans="1:2" ht="18" x14ac:dyDescent="0.4">
      <c r="A610" s="299" t="str">
        <f t="shared" si="9"/>
        <v/>
      </c>
      <c r="B610" s="302" t="s">
        <v>1038</v>
      </c>
    </row>
    <row r="611" spans="1:2" ht="18" x14ac:dyDescent="0.4">
      <c r="A611" s="299" t="str">
        <f t="shared" si="9"/>
        <v/>
      </c>
      <c r="B611" s="302" t="s">
        <v>1039</v>
      </c>
    </row>
    <row r="612" spans="1:2" ht="18" x14ac:dyDescent="0.4">
      <c r="A612" s="299" t="str">
        <f t="shared" si="9"/>
        <v/>
      </c>
      <c r="B612" s="302" t="s">
        <v>1040</v>
      </c>
    </row>
    <row r="613" spans="1:2" ht="18" x14ac:dyDescent="0.4">
      <c r="A613" s="299" t="str">
        <f t="shared" si="9"/>
        <v/>
      </c>
      <c r="B613" s="302" t="s">
        <v>1041</v>
      </c>
    </row>
    <row r="614" spans="1:2" ht="18" x14ac:dyDescent="0.4">
      <c r="A614" s="299"/>
      <c r="B614" s="302" t="s">
        <v>1042</v>
      </c>
    </row>
    <row r="615" spans="1:2" ht="18" x14ac:dyDescent="0.4">
      <c r="A615" s="299" t="str">
        <f t="shared" si="9"/>
        <v/>
      </c>
      <c r="B615" s="302" t="s">
        <v>1043</v>
      </c>
    </row>
    <row r="616" spans="1:2" ht="18" x14ac:dyDescent="0.4">
      <c r="A616" s="299" t="str">
        <f t="shared" si="9"/>
        <v/>
      </c>
      <c r="B616" s="302" t="s">
        <v>1044</v>
      </c>
    </row>
    <row r="617" spans="1:2" ht="18" x14ac:dyDescent="0.4">
      <c r="A617" s="299" t="str">
        <f t="shared" si="9"/>
        <v/>
      </c>
      <c r="B617" s="302" t="s">
        <v>1045</v>
      </c>
    </row>
    <row r="618" spans="1:2" ht="18" x14ac:dyDescent="0.4">
      <c r="A618" s="299" t="str">
        <f t="shared" si="9"/>
        <v/>
      </c>
      <c r="B618" s="302" t="s">
        <v>1046</v>
      </c>
    </row>
    <row r="619" spans="1:2" ht="18" x14ac:dyDescent="0.4">
      <c r="A619" s="299" t="str">
        <f t="shared" si="9"/>
        <v>第 79-1 條</v>
      </c>
      <c r="B619" s="302" t="s">
        <v>1047</v>
      </c>
    </row>
    <row r="620" spans="1:2" ht="18" x14ac:dyDescent="0.4">
      <c r="A620" s="299" t="str">
        <f t="shared" si="9"/>
        <v/>
      </c>
      <c r="B620" s="302" t="s">
        <v>1048</v>
      </c>
    </row>
    <row r="621" spans="1:2" ht="18" x14ac:dyDescent="0.4">
      <c r="A621" s="299" t="str">
        <f t="shared" si="9"/>
        <v/>
      </c>
      <c r="B621" s="302" t="s">
        <v>1049</v>
      </c>
    </row>
    <row r="622" spans="1:2" ht="18" x14ac:dyDescent="0.4">
      <c r="A622" s="299" t="str">
        <f t="shared" si="9"/>
        <v>第 80 條</v>
      </c>
      <c r="B622" s="302" t="s">
        <v>1050</v>
      </c>
    </row>
    <row r="623" spans="1:2" ht="18" x14ac:dyDescent="0.4">
      <c r="A623" s="299" t="str">
        <f t="shared" si="9"/>
        <v/>
      </c>
      <c r="B623" s="302" t="s">
        <v>1043</v>
      </c>
    </row>
    <row r="624" spans="1:2" ht="18" x14ac:dyDescent="0.4">
      <c r="A624" s="299" t="str">
        <f t="shared" si="9"/>
        <v/>
      </c>
      <c r="B624" s="302" t="s">
        <v>1051</v>
      </c>
    </row>
    <row r="625" spans="1:2" ht="18" x14ac:dyDescent="0.4">
      <c r="A625" s="299" t="str">
        <f t="shared" si="9"/>
        <v>第 80-1 條</v>
      </c>
      <c r="B625" s="302" t="s">
        <v>1052</v>
      </c>
    </row>
    <row r="626" spans="1:2" ht="18" x14ac:dyDescent="0.4">
      <c r="A626" s="299" t="str">
        <f t="shared" si="9"/>
        <v/>
      </c>
      <c r="B626" s="302" t="s">
        <v>1053</v>
      </c>
    </row>
    <row r="627" spans="1:2" ht="18" x14ac:dyDescent="0.4">
      <c r="A627" s="299" t="str">
        <f t="shared" si="9"/>
        <v/>
      </c>
      <c r="B627" s="302" t="s">
        <v>1054</v>
      </c>
    </row>
    <row r="628" spans="1:2" ht="18" x14ac:dyDescent="0.4">
      <c r="A628" s="299" t="str">
        <f t="shared" si="9"/>
        <v/>
      </c>
      <c r="B628" s="302" t="s">
        <v>1055</v>
      </c>
    </row>
    <row r="629" spans="1:2" ht="18" x14ac:dyDescent="0.4">
      <c r="A629" s="299" t="str">
        <f t="shared" si="9"/>
        <v/>
      </c>
      <c r="B629" s="302" t="s">
        <v>1056</v>
      </c>
    </row>
    <row r="630" spans="1:2" ht="18" x14ac:dyDescent="0.4">
      <c r="A630" s="299" t="str">
        <f t="shared" si="9"/>
        <v>第 81 條</v>
      </c>
      <c r="B630" s="302" t="s">
        <v>1057</v>
      </c>
    </row>
    <row r="631" spans="1:2" ht="18" x14ac:dyDescent="0.4">
      <c r="A631" s="299" t="str">
        <f t="shared" si="9"/>
        <v/>
      </c>
      <c r="B631" s="302" t="s">
        <v>1058</v>
      </c>
    </row>
    <row r="632" spans="1:2" ht="18" x14ac:dyDescent="0.4">
      <c r="A632" s="299" t="str">
        <f t="shared" si="9"/>
        <v/>
      </c>
      <c r="B632" s="302" t="s">
        <v>1059</v>
      </c>
    </row>
    <row r="633" spans="1:2" ht="18" x14ac:dyDescent="0.4">
      <c r="A633" s="299" t="str">
        <f t="shared" si="9"/>
        <v/>
      </c>
      <c r="B633" s="302" t="s">
        <v>1060</v>
      </c>
    </row>
    <row r="634" spans="1:2" ht="18" x14ac:dyDescent="0.4">
      <c r="A634" s="299" t="str">
        <f t="shared" si="9"/>
        <v/>
      </c>
      <c r="B634" s="302" t="s">
        <v>1061</v>
      </c>
    </row>
    <row r="635" spans="1:2" ht="18" x14ac:dyDescent="0.4">
      <c r="A635" s="299" t="str">
        <f t="shared" si="9"/>
        <v/>
      </c>
      <c r="B635" s="302" t="s">
        <v>1062</v>
      </c>
    </row>
    <row r="636" spans="1:2" ht="18" x14ac:dyDescent="0.4">
      <c r="A636" s="299" t="str">
        <f t="shared" si="9"/>
        <v>第 82 條</v>
      </c>
      <c r="B636" s="302" t="s">
        <v>1063</v>
      </c>
    </row>
    <row r="637" spans="1:2" ht="18.5" x14ac:dyDescent="0.4">
      <c r="A637" s="299" t="str">
        <f t="shared" si="9"/>
        <v/>
      </c>
      <c r="B637" s="301" t="s">
        <v>1064</v>
      </c>
    </row>
    <row r="638" spans="1:2" ht="18" x14ac:dyDescent="0.4">
      <c r="A638" s="299"/>
      <c r="B638" s="302" t="s">
        <v>1065</v>
      </c>
    </row>
    <row r="639" spans="1:2" ht="18" x14ac:dyDescent="0.4">
      <c r="A639" s="299" t="str">
        <f t="shared" si="9"/>
        <v>第 83 條</v>
      </c>
      <c r="B639" s="302" t="s">
        <v>1066</v>
      </c>
    </row>
    <row r="640" spans="1:2" ht="18" x14ac:dyDescent="0.4">
      <c r="A640" s="299" t="str">
        <f t="shared" si="9"/>
        <v/>
      </c>
      <c r="B640" s="302" t="s">
        <v>1067</v>
      </c>
    </row>
    <row r="641" spans="1:2" ht="18" x14ac:dyDescent="0.4">
      <c r="A641" s="299" t="str">
        <f t="shared" si="9"/>
        <v/>
      </c>
      <c r="B641" s="303" t="s">
        <v>1068</v>
      </c>
    </row>
    <row r="642" spans="1:2" ht="18" x14ac:dyDescent="0.4">
      <c r="A642" s="299" t="str">
        <f t="shared" si="9"/>
        <v>第 84 條</v>
      </c>
      <c r="B642" s="303" t="s">
        <v>1069</v>
      </c>
    </row>
    <row r="643" spans="1:2" ht="18" x14ac:dyDescent="0.4">
      <c r="A643" s="299" t="str">
        <f t="shared" si="9"/>
        <v/>
      </c>
      <c r="B643" s="303" t="s">
        <v>1070</v>
      </c>
    </row>
    <row r="644" spans="1:2" ht="18" x14ac:dyDescent="0.4">
      <c r="A644" s="299" t="str">
        <f t="shared" si="9"/>
        <v/>
      </c>
      <c r="B644" s="303" t="s">
        <v>1071</v>
      </c>
    </row>
    <row r="645" spans="1:2" ht="18" x14ac:dyDescent="0.4">
      <c r="A645" s="299" t="str">
        <f t="shared" si="9"/>
        <v/>
      </c>
      <c r="B645" s="302" t="s">
        <v>1072</v>
      </c>
    </row>
    <row r="646" spans="1:2" ht="18" x14ac:dyDescent="0.4">
      <c r="A646" s="299" t="str">
        <f t="shared" ref="A646:A670" si="10">IF(LEFT(B645,1)="第",B645,"")</f>
        <v>第 84-1 條</v>
      </c>
      <c r="B646" s="302" t="s">
        <v>1073</v>
      </c>
    </row>
    <row r="647" spans="1:2" ht="18" x14ac:dyDescent="0.4">
      <c r="A647" s="299" t="str">
        <f t="shared" si="10"/>
        <v/>
      </c>
      <c r="B647" s="302" t="s">
        <v>1074</v>
      </c>
    </row>
    <row r="648" spans="1:2" ht="18" x14ac:dyDescent="0.4">
      <c r="A648" s="299" t="str">
        <f t="shared" si="10"/>
        <v/>
      </c>
      <c r="B648" s="302" t="s">
        <v>1150</v>
      </c>
    </row>
    <row r="649" spans="1:2" ht="18" x14ac:dyDescent="0.4">
      <c r="A649" s="299" t="str">
        <f t="shared" si="10"/>
        <v/>
      </c>
      <c r="B649" s="302" t="s">
        <v>1075</v>
      </c>
    </row>
    <row r="650" spans="1:2" ht="18" x14ac:dyDescent="0.4">
      <c r="A650" s="299" t="str">
        <f t="shared" si="10"/>
        <v/>
      </c>
      <c r="B650" s="302" t="s">
        <v>1076</v>
      </c>
    </row>
    <row r="651" spans="1:2" ht="18" x14ac:dyDescent="0.4">
      <c r="A651" s="299" t="str">
        <f t="shared" si="10"/>
        <v/>
      </c>
      <c r="B651" s="302" t="s">
        <v>1077</v>
      </c>
    </row>
    <row r="652" spans="1:2" ht="18" x14ac:dyDescent="0.4">
      <c r="A652" s="299" t="str">
        <f t="shared" si="10"/>
        <v/>
      </c>
      <c r="B652" s="302" t="s">
        <v>1078</v>
      </c>
    </row>
    <row r="653" spans="1:2" ht="18" x14ac:dyDescent="0.4">
      <c r="A653" s="299" t="str">
        <f t="shared" si="10"/>
        <v/>
      </c>
      <c r="B653" s="302" t="s">
        <v>1079</v>
      </c>
    </row>
    <row r="654" spans="1:2" ht="18" x14ac:dyDescent="0.4">
      <c r="A654" s="299" t="str">
        <f t="shared" si="10"/>
        <v/>
      </c>
      <c r="B654" s="302" t="s">
        <v>1080</v>
      </c>
    </row>
    <row r="655" spans="1:2" ht="18" x14ac:dyDescent="0.4">
      <c r="A655" s="299" t="str">
        <f t="shared" si="10"/>
        <v>第 84-2 條</v>
      </c>
      <c r="B655" s="302" t="s">
        <v>1081</v>
      </c>
    </row>
    <row r="656" spans="1:2" ht="18" x14ac:dyDescent="0.4">
      <c r="A656" s="299" t="str">
        <f t="shared" si="10"/>
        <v/>
      </c>
      <c r="B656" s="302" t="s">
        <v>1082</v>
      </c>
    </row>
    <row r="657" spans="1:2" ht="18" x14ac:dyDescent="0.4">
      <c r="A657" s="299" t="str">
        <f t="shared" si="10"/>
        <v/>
      </c>
      <c r="B657" s="302" t="s">
        <v>1083</v>
      </c>
    </row>
    <row r="658" spans="1:2" ht="18" x14ac:dyDescent="0.4">
      <c r="A658" s="299" t="str">
        <f t="shared" si="10"/>
        <v/>
      </c>
      <c r="B658" s="302" t="s">
        <v>1084</v>
      </c>
    </row>
    <row r="659" spans="1:2" ht="18" x14ac:dyDescent="0.4">
      <c r="A659" s="299" t="str">
        <f t="shared" si="10"/>
        <v/>
      </c>
      <c r="B659" s="302" t="s">
        <v>1085</v>
      </c>
    </row>
    <row r="660" spans="1:2" ht="18" x14ac:dyDescent="0.4">
      <c r="A660" s="299" t="str">
        <f t="shared" si="10"/>
        <v>第 85 條</v>
      </c>
      <c r="B660" s="302" t="s">
        <v>1086</v>
      </c>
    </row>
    <row r="661" spans="1:2" ht="18" x14ac:dyDescent="0.4">
      <c r="A661" s="299" t="str">
        <f t="shared" si="10"/>
        <v/>
      </c>
      <c r="B661" s="302" t="s">
        <v>1087</v>
      </c>
    </row>
    <row r="662" spans="1:2" ht="18" x14ac:dyDescent="0.4">
      <c r="A662" s="299" t="str">
        <f t="shared" si="10"/>
        <v>第 86 條</v>
      </c>
      <c r="B662" s="302" t="s">
        <v>1088</v>
      </c>
    </row>
    <row r="663" spans="1:2" ht="18" x14ac:dyDescent="0.4">
      <c r="A663" s="299" t="str">
        <f t="shared" si="10"/>
        <v/>
      </c>
      <c r="B663" s="302" t="s">
        <v>1089</v>
      </c>
    </row>
    <row r="664" spans="1:2" ht="18" x14ac:dyDescent="0.4">
      <c r="A664" s="299" t="str">
        <f t="shared" si="10"/>
        <v/>
      </c>
      <c r="B664" s="302" t="s">
        <v>1090</v>
      </c>
    </row>
    <row r="665" spans="1:2" ht="18" x14ac:dyDescent="0.4">
      <c r="A665" s="299" t="str">
        <f t="shared" si="10"/>
        <v/>
      </c>
      <c r="B665" s="302" t="s">
        <v>1091</v>
      </c>
    </row>
    <row r="666" spans="1:2" ht="18" x14ac:dyDescent="0.4">
      <c r="A666" s="299" t="str">
        <f t="shared" si="10"/>
        <v/>
      </c>
      <c r="B666" s="302" t="s">
        <v>1092</v>
      </c>
    </row>
    <row r="667" spans="1:2" ht="18" x14ac:dyDescent="0.4">
      <c r="A667" s="299" t="str">
        <f t="shared" si="10"/>
        <v/>
      </c>
      <c r="B667" s="302" t="s">
        <v>1093</v>
      </c>
    </row>
    <row r="668" spans="1:2" ht="18" x14ac:dyDescent="0.4">
      <c r="A668" s="299" t="str">
        <f t="shared" si="10"/>
        <v/>
      </c>
      <c r="B668" s="302" t="s">
        <v>1094</v>
      </c>
    </row>
    <row r="669" spans="1:2" ht="18" x14ac:dyDescent="0.4">
      <c r="A669" s="299" t="str">
        <f t="shared" si="10"/>
        <v/>
      </c>
      <c r="B669" s="302" t="s">
        <v>1095</v>
      </c>
    </row>
    <row r="670" spans="1:2" ht="18" x14ac:dyDescent="0.4">
      <c r="A670" s="299" t="str">
        <f t="shared" si="10"/>
        <v/>
      </c>
      <c r="B670" s="302" t="s">
        <v>1096</v>
      </c>
    </row>
  </sheetData>
  <sheetProtection algorithmName="SHA-512" hashValue="aB/uIbMrJiH8TYC59DJRBS1H/4cbcl8R5cfOZuRxxPB1eg8uS/vKjw2l/LXSx5ZrHkkDZWZq7VD1V4GZqmUecQ==" saltValue="+eckF20oKieO8WfMyg0WSA==" spinCount="100000" sheet="1" objects="1" scenarios="1" formatCells="0" autoFilter="0"/>
  <mergeCells count="1">
    <mergeCell ref="A325:A34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B358"/>
  <sheetViews>
    <sheetView showGridLines="0" topLeftCell="A195" zoomScale="120" zoomScaleNormal="120" workbookViewId="0">
      <selection activeCell="C199" sqref="C199"/>
    </sheetView>
  </sheetViews>
  <sheetFormatPr defaultColWidth="9" defaultRowHeight="30" customHeight="1" x14ac:dyDescent="0.4"/>
  <cols>
    <col min="1" max="1" width="13.90625" customWidth="1"/>
    <col min="2" max="2" width="86.08984375" customWidth="1"/>
    <col min="3" max="3" width="100.453125" customWidth="1"/>
  </cols>
  <sheetData>
    <row r="1" spans="1:2" ht="30" customHeight="1" thickBot="1" x14ac:dyDescent="0.45">
      <c r="A1" s="304"/>
      <c r="B1" s="305" t="s">
        <v>1097</v>
      </c>
    </row>
    <row r="2" spans="1:2" ht="30" customHeight="1" thickBot="1" x14ac:dyDescent="0.45">
      <c r="A2" s="304"/>
      <c r="B2" s="305" t="s">
        <v>1098</v>
      </c>
    </row>
    <row r="3" spans="1:2" ht="30" customHeight="1" x14ac:dyDescent="0.4">
      <c r="A3" s="304"/>
      <c r="B3" s="305" t="s">
        <v>505</v>
      </c>
    </row>
    <row r="4" spans="1:2" ht="30" customHeight="1" x14ac:dyDescent="0.4">
      <c r="A4" s="304"/>
      <c r="B4" s="306"/>
    </row>
    <row r="5" spans="1:2" ht="30" customHeight="1" x14ac:dyDescent="0.4">
      <c r="A5" s="304"/>
      <c r="B5" s="307" t="s">
        <v>255</v>
      </c>
    </row>
    <row r="6" spans="1:2" ht="30" customHeight="1" x14ac:dyDescent="0.4">
      <c r="A6" s="304"/>
      <c r="B6" s="308" t="s">
        <v>10</v>
      </c>
    </row>
    <row r="7" spans="1:2" ht="30" customHeight="1" x14ac:dyDescent="0.4">
      <c r="A7" s="299" t="s">
        <v>10</v>
      </c>
      <c r="B7" s="308" t="s">
        <v>256</v>
      </c>
    </row>
    <row r="8" spans="1:2" ht="30" customHeight="1" x14ac:dyDescent="0.4">
      <c r="A8" s="299" t="s">
        <v>502</v>
      </c>
      <c r="B8" s="308" t="s">
        <v>11</v>
      </c>
    </row>
    <row r="9" spans="1:2" ht="30" customHeight="1" x14ac:dyDescent="0.4">
      <c r="A9" s="299" t="s">
        <v>11</v>
      </c>
      <c r="B9" s="308" t="s">
        <v>257</v>
      </c>
    </row>
    <row r="10" spans="1:2" ht="30" customHeight="1" x14ac:dyDescent="0.4">
      <c r="A10" s="299" t="s">
        <v>502</v>
      </c>
      <c r="B10" s="308" t="s">
        <v>258</v>
      </c>
    </row>
    <row r="11" spans="1:2" ht="30" customHeight="1" x14ac:dyDescent="0.4">
      <c r="A11" s="299" t="s">
        <v>502</v>
      </c>
      <c r="B11" s="308" t="s">
        <v>259</v>
      </c>
    </row>
    <row r="12" spans="1:2" ht="30" customHeight="1" x14ac:dyDescent="0.4">
      <c r="A12" s="299" t="s">
        <v>502</v>
      </c>
      <c r="B12" s="308" t="s">
        <v>260</v>
      </c>
    </row>
    <row r="13" spans="1:2" ht="30" customHeight="1" x14ac:dyDescent="0.4">
      <c r="A13" s="299" t="s">
        <v>502</v>
      </c>
      <c r="B13" s="308" t="s">
        <v>261</v>
      </c>
    </row>
    <row r="14" spans="1:2" ht="30" customHeight="1" x14ac:dyDescent="0.4">
      <c r="A14" s="299" t="s">
        <v>502</v>
      </c>
      <c r="B14" s="308" t="s">
        <v>1099</v>
      </c>
    </row>
    <row r="15" spans="1:2" ht="30" customHeight="1" x14ac:dyDescent="0.4">
      <c r="A15" s="299" t="s">
        <v>502</v>
      </c>
      <c r="B15" s="308" t="s">
        <v>1100</v>
      </c>
    </row>
    <row r="16" spans="1:2" ht="30" customHeight="1" x14ac:dyDescent="0.4">
      <c r="A16" s="299" t="s">
        <v>502</v>
      </c>
      <c r="B16" s="308" t="s">
        <v>1101</v>
      </c>
    </row>
    <row r="17" spans="1:2" ht="30" customHeight="1" x14ac:dyDescent="0.4">
      <c r="A17" s="299" t="s">
        <v>502</v>
      </c>
      <c r="B17" s="308" t="s">
        <v>1102</v>
      </c>
    </row>
    <row r="18" spans="1:2" ht="30" customHeight="1" x14ac:dyDescent="0.4">
      <c r="A18" s="299" t="s">
        <v>502</v>
      </c>
      <c r="B18" s="308" t="s">
        <v>262</v>
      </c>
    </row>
    <row r="19" spans="1:2" ht="30" customHeight="1" x14ac:dyDescent="0.4">
      <c r="A19" s="299" t="s">
        <v>502</v>
      </c>
      <c r="B19" s="308" t="s">
        <v>12</v>
      </c>
    </row>
    <row r="20" spans="1:2" ht="30" customHeight="1" x14ac:dyDescent="0.4">
      <c r="A20" s="299" t="s">
        <v>12</v>
      </c>
      <c r="B20" s="308" t="s">
        <v>263</v>
      </c>
    </row>
    <row r="21" spans="1:2" ht="30" customHeight="1" x14ac:dyDescent="0.4">
      <c r="A21" s="299" t="s">
        <v>502</v>
      </c>
      <c r="B21" s="308" t="s">
        <v>264</v>
      </c>
    </row>
    <row r="22" spans="1:2" ht="30" customHeight="1" x14ac:dyDescent="0.4">
      <c r="A22" s="299" t="s">
        <v>502</v>
      </c>
      <c r="B22" s="308" t="s">
        <v>13</v>
      </c>
    </row>
    <row r="23" spans="1:2" ht="30" customHeight="1" x14ac:dyDescent="0.4">
      <c r="A23" s="299" t="s">
        <v>13</v>
      </c>
      <c r="B23" s="308" t="s">
        <v>265</v>
      </c>
    </row>
    <row r="24" spans="1:2" ht="30" customHeight="1" x14ac:dyDescent="0.4">
      <c r="A24" s="299" t="s">
        <v>502</v>
      </c>
      <c r="B24" s="308" t="s">
        <v>266</v>
      </c>
    </row>
    <row r="25" spans="1:2" ht="30" customHeight="1" x14ac:dyDescent="0.4">
      <c r="A25" s="299" t="s">
        <v>502</v>
      </c>
      <c r="B25" s="308" t="s">
        <v>267</v>
      </c>
    </row>
    <row r="26" spans="1:2" ht="30" customHeight="1" x14ac:dyDescent="0.4">
      <c r="A26" s="299" t="s">
        <v>502</v>
      </c>
      <c r="B26" s="308" t="s">
        <v>268</v>
      </c>
    </row>
    <row r="27" spans="1:2" ht="30" customHeight="1" x14ac:dyDescent="0.4">
      <c r="A27" s="299" t="s">
        <v>268</v>
      </c>
      <c r="B27" s="308" t="s">
        <v>269</v>
      </c>
    </row>
    <row r="28" spans="1:2" ht="30" customHeight="1" x14ac:dyDescent="0.4">
      <c r="A28" s="299" t="s">
        <v>502</v>
      </c>
      <c r="B28" s="308" t="s">
        <v>14</v>
      </c>
    </row>
    <row r="29" spans="1:2" ht="30" customHeight="1" x14ac:dyDescent="0.4">
      <c r="A29" s="299" t="s">
        <v>14</v>
      </c>
      <c r="B29" s="308" t="s">
        <v>270</v>
      </c>
    </row>
    <row r="30" spans="1:2" ht="30" customHeight="1" x14ac:dyDescent="0.4">
      <c r="A30" s="299" t="s">
        <v>502</v>
      </c>
      <c r="B30" s="308" t="s">
        <v>271</v>
      </c>
    </row>
    <row r="31" spans="1:2" ht="30" customHeight="1" x14ac:dyDescent="0.4">
      <c r="A31" s="299" t="s">
        <v>502</v>
      </c>
      <c r="B31" s="307" t="s">
        <v>272</v>
      </c>
    </row>
    <row r="32" spans="1:2" ht="30" customHeight="1" x14ac:dyDescent="0.4">
      <c r="A32" s="299"/>
      <c r="B32" s="308" t="s">
        <v>15</v>
      </c>
    </row>
    <row r="33" spans="1:2" ht="30" customHeight="1" x14ac:dyDescent="0.4">
      <c r="A33" s="299" t="s">
        <v>15</v>
      </c>
      <c r="B33" s="308" t="s">
        <v>273</v>
      </c>
    </row>
    <row r="34" spans="1:2" ht="30" customHeight="1" x14ac:dyDescent="0.4">
      <c r="A34" s="299" t="s">
        <v>502</v>
      </c>
      <c r="B34" s="308" t="s">
        <v>274</v>
      </c>
    </row>
    <row r="35" spans="1:2" ht="30" customHeight="1" x14ac:dyDescent="0.4">
      <c r="A35" s="299" t="s">
        <v>502</v>
      </c>
      <c r="B35" s="308" t="s">
        <v>275</v>
      </c>
    </row>
    <row r="36" spans="1:2" ht="30" customHeight="1" x14ac:dyDescent="0.4">
      <c r="A36" s="299" t="s">
        <v>502</v>
      </c>
      <c r="B36" s="308" t="s">
        <v>1103</v>
      </c>
    </row>
    <row r="37" spans="1:2" ht="30" customHeight="1" x14ac:dyDescent="0.4">
      <c r="A37" s="299" t="s">
        <v>502</v>
      </c>
      <c r="B37" s="308" t="s">
        <v>276</v>
      </c>
    </row>
    <row r="38" spans="1:2" ht="30" customHeight="1" x14ac:dyDescent="0.4">
      <c r="A38" s="299" t="s">
        <v>502</v>
      </c>
      <c r="B38" s="308" t="s">
        <v>277</v>
      </c>
    </row>
    <row r="39" spans="1:2" ht="30" customHeight="1" x14ac:dyDescent="0.4">
      <c r="A39" s="299" t="s">
        <v>502</v>
      </c>
      <c r="B39" s="308" t="s">
        <v>1104</v>
      </c>
    </row>
    <row r="40" spans="1:2" ht="30" customHeight="1" x14ac:dyDescent="0.4">
      <c r="A40" s="299" t="s">
        <v>502</v>
      </c>
      <c r="B40" s="308" t="s">
        <v>278</v>
      </c>
    </row>
    <row r="41" spans="1:2" ht="30" customHeight="1" x14ac:dyDescent="0.4">
      <c r="A41" s="299" t="s">
        <v>502</v>
      </c>
      <c r="B41" s="308" t="s">
        <v>1105</v>
      </c>
    </row>
    <row r="42" spans="1:2" ht="30" customHeight="1" x14ac:dyDescent="0.4">
      <c r="A42" s="299" t="s">
        <v>502</v>
      </c>
      <c r="B42" s="308" t="s">
        <v>16</v>
      </c>
    </row>
    <row r="43" spans="1:2" ht="30" customHeight="1" x14ac:dyDescent="0.4">
      <c r="A43" s="299" t="s">
        <v>16</v>
      </c>
      <c r="B43" s="308" t="s">
        <v>279</v>
      </c>
    </row>
    <row r="44" spans="1:2" ht="30" customHeight="1" x14ac:dyDescent="0.4">
      <c r="A44" s="299" t="s">
        <v>502</v>
      </c>
      <c r="B44" s="308" t="s">
        <v>280</v>
      </c>
    </row>
    <row r="45" spans="1:2" ht="30" customHeight="1" x14ac:dyDescent="0.4">
      <c r="A45" s="299" t="s">
        <v>502</v>
      </c>
      <c r="B45" s="308" t="s">
        <v>281</v>
      </c>
    </row>
    <row r="46" spans="1:2" ht="30" customHeight="1" x14ac:dyDescent="0.4">
      <c r="A46" s="299" t="s">
        <v>502</v>
      </c>
      <c r="B46" s="308" t="s">
        <v>1106</v>
      </c>
    </row>
    <row r="47" spans="1:2" ht="30" customHeight="1" x14ac:dyDescent="0.4">
      <c r="A47" s="299" t="s">
        <v>502</v>
      </c>
      <c r="B47" s="308" t="s">
        <v>282</v>
      </c>
    </row>
    <row r="48" spans="1:2" ht="30" customHeight="1" x14ac:dyDescent="0.4">
      <c r="A48" s="299" t="s">
        <v>502</v>
      </c>
      <c r="B48" s="308" t="s">
        <v>283</v>
      </c>
    </row>
    <row r="49" spans="1:2" ht="30" customHeight="1" x14ac:dyDescent="0.4">
      <c r="A49" s="299" t="s">
        <v>502</v>
      </c>
      <c r="B49" s="308" t="s">
        <v>284</v>
      </c>
    </row>
    <row r="50" spans="1:2" ht="30" customHeight="1" x14ac:dyDescent="0.4">
      <c r="A50" s="299" t="s">
        <v>502</v>
      </c>
      <c r="B50" s="308" t="s">
        <v>285</v>
      </c>
    </row>
    <row r="51" spans="1:2" ht="30" customHeight="1" x14ac:dyDescent="0.4">
      <c r="A51" s="299" t="s">
        <v>502</v>
      </c>
      <c r="B51" s="308" t="s">
        <v>286</v>
      </c>
    </row>
    <row r="52" spans="1:2" ht="30" customHeight="1" x14ac:dyDescent="0.4">
      <c r="A52" s="299" t="s">
        <v>502</v>
      </c>
      <c r="B52" s="308" t="s">
        <v>287</v>
      </c>
    </row>
    <row r="53" spans="1:2" ht="30" customHeight="1" x14ac:dyDescent="0.4">
      <c r="A53" s="299" t="s">
        <v>502</v>
      </c>
      <c r="B53" s="308" t="s">
        <v>288</v>
      </c>
    </row>
    <row r="54" spans="1:2" ht="30" customHeight="1" x14ac:dyDescent="0.4">
      <c r="A54" s="299" t="s">
        <v>502</v>
      </c>
      <c r="B54" s="308" t="s">
        <v>289</v>
      </c>
    </row>
    <row r="55" spans="1:2" ht="30" customHeight="1" x14ac:dyDescent="0.4">
      <c r="A55" s="299" t="s">
        <v>502</v>
      </c>
      <c r="B55" s="308" t="s">
        <v>290</v>
      </c>
    </row>
    <row r="56" spans="1:2" ht="30" customHeight="1" x14ac:dyDescent="0.4">
      <c r="A56" s="299" t="s">
        <v>502</v>
      </c>
      <c r="B56" s="308" t="s">
        <v>291</v>
      </c>
    </row>
    <row r="57" spans="1:2" ht="30" customHeight="1" x14ac:dyDescent="0.4">
      <c r="A57" s="299" t="s">
        <v>502</v>
      </c>
      <c r="B57" s="308" t="s">
        <v>292</v>
      </c>
    </row>
    <row r="58" spans="1:2" ht="30" customHeight="1" x14ac:dyDescent="0.4">
      <c r="A58" s="299" t="s">
        <v>502</v>
      </c>
      <c r="B58" s="308" t="s">
        <v>293</v>
      </c>
    </row>
    <row r="59" spans="1:2" ht="30" customHeight="1" x14ac:dyDescent="0.4">
      <c r="A59" s="299" t="s">
        <v>293</v>
      </c>
      <c r="B59" s="308" t="s">
        <v>294</v>
      </c>
    </row>
    <row r="60" spans="1:2" ht="30" customHeight="1" x14ac:dyDescent="0.4">
      <c r="A60" s="299" t="s">
        <v>502</v>
      </c>
      <c r="B60" s="308" t="s">
        <v>295</v>
      </c>
    </row>
    <row r="61" spans="1:2" ht="30" customHeight="1" x14ac:dyDescent="0.4">
      <c r="A61" s="299" t="s">
        <v>502</v>
      </c>
      <c r="B61" s="308" t="s">
        <v>296</v>
      </c>
    </row>
    <row r="62" spans="1:2" ht="30" customHeight="1" x14ac:dyDescent="0.4">
      <c r="A62" s="299" t="s">
        <v>296</v>
      </c>
      <c r="B62" s="308" t="s">
        <v>297</v>
      </c>
    </row>
    <row r="63" spans="1:2" ht="30" customHeight="1" x14ac:dyDescent="0.4">
      <c r="A63" s="299" t="s">
        <v>502</v>
      </c>
      <c r="B63" s="308" t="s">
        <v>298</v>
      </c>
    </row>
    <row r="64" spans="1:2" ht="30" customHeight="1" x14ac:dyDescent="0.4">
      <c r="A64" s="299" t="s">
        <v>502</v>
      </c>
      <c r="B64" s="308" t="s">
        <v>299</v>
      </c>
    </row>
    <row r="65" spans="1:2" ht="30" customHeight="1" x14ac:dyDescent="0.4">
      <c r="A65" s="299" t="s">
        <v>502</v>
      </c>
      <c r="B65" s="308" t="s">
        <v>1107</v>
      </c>
    </row>
    <row r="66" spans="1:2" ht="30" customHeight="1" x14ac:dyDescent="0.4">
      <c r="A66" s="299" t="s">
        <v>502</v>
      </c>
      <c r="B66" s="308" t="s">
        <v>300</v>
      </c>
    </row>
    <row r="67" spans="1:2" ht="30" customHeight="1" x14ac:dyDescent="0.4">
      <c r="A67" s="299" t="s">
        <v>502</v>
      </c>
      <c r="B67" s="308" t="s">
        <v>301</v>
      </c>
    </row>
    <row r="68" spans="1:2" ht="30" customHeight="1" x14ac:dyDescent="0.4">
      <c r="A68" s="299" t="s">
        <v>502</v>
      </c>
      <c r="B68" s="308" t="s">
        <v>1108</v>
      </c>
    </row>
    <row r="69" spans="1:2" ht="30" customHeight="1" x14ac:dyDescent="0.4">
      <c r="A69" s="299" t="s">
        <v>502</v>
      </c>
      <c r="B69" s="308" t="s">
        <v>302</v>
      </c>
    </row>
    <row r="70" spans="1:2" ht="30" customHeight="1" x14ac:dyDescent="0.4">
      <c r="A70" s="299" t="s">
        <v>502</v>
      </c>
      <c r="B70" s="308" t="s">
        <v>1109</v>
      </c>
    </row>
    <row r="71" spans="1:2" ht="30" customHeight="1" x14ac:dyDescent="0.4">
      <c r="A71" s="299" t="s">
        <v>502</v>
      </c>
      <c r="B71" s="308" t="s">
        <v>303</v>
      </c>
    </row>
    <row r="72" spans="1:2" ht="30" customHeight="1" x14ac:dyDescent="0.4">
      <c r="A72" s="299" t="s">
        <v>303</v>
      </c>
      <c r="B72" s="308" t="s">
        <v>304</v>
      </c>
    </row>
    <row r="73" spans="1:2" ht="30" customHeight="1" x14ac:dyDescent="0.4">
      <c r="A73" s="299" t="s">
        <v>502</v>
      </c>
      <c r="B73" s="308" t="s">
        <v>305</v>
      </c>
    </row>
    <row r="74" spans="1:2" ht="30" customHeight="1" x14ac:dyDescent="0.4">
      <c r="A74" s="299" t="s">
        <v>502</v>
      </c>
      <c r="B74" s="308" t="s">
        <v>306</v>
      </c>
    </row>
    <row r="75" spans="1:2" ht="30" customHeight="1" x14ac:dyDescent="0.4">
      <c r="A75" s="299" t="s">
        <v>502</v>
      </c>
      <c r="B75" s="308" t="s">
        <v>307</v>
      </c>
    </row>
    <row r="76" spans="1:2" ht="30" customHeight="1" x14ac:dyDescent="0.4">
      <c r="A76" s="299" t="s">
        <v>502</v>
      </c>
      <c r="B76" s="308" t="s">
        <v>1110</v>
      </c>
    </row>
    <row r="77" spans="1:2" ht="30" customHeight="1" x14ac:dyDescent="0.4">
      <c r="A77" s="299" t="s">
        <v>502</v>
      </c>
      <c r="B77" s="308" t="s">
        <v>308</v>
      </c>
    </row>
    <row r="78" spans="1:2" ht="30" customHeight="1" x14ac:dyDescent="0.4">
      <c r="A78" s="299" t="s">
        <v>502</v>
      </c>
      <c r="B78" s="308" t="s">
        <v>309</v>
      </c>
    </row>
    <row r="79" spans="1:2" ht="30" customHeight="1" x14ac:dyDescent="0.4">
      <c r="A79" s="299" t="s">
        <v>502</v>
      </c>
      <c r="B79" s="308" t="s">
        <v>17</v>
      </c>
    </row>
    <row r="80" spans="1:2" ht="30" customHeight="1" x14ac:dyDescent="0.4">
      <c r="A80" s="299" t="s">
        <v>17</v>
      </c>
      <c r="B80" s="308" t="s">
        <v>269</v>
      </c>
    </row>
    <row r="81" spans="1:2" ht="30" customHeight="1" x14ac:dyDescent="0.4">
      <c r="A81" s="299" t="s">
        <v>502</v>
      </c>
      <c r="B81" s="308" t="s">
        <v>18</v>
      </c>
    </row>
    <row r="82" spans="1:2" ht="30" customHeight="1" x14ac:dyDescent="0.4">
      <c r="A82" s="299" t="s">
        <v>18</v>
      </c>
      <c r="B82" s="308" t="s">
        <v>310</v>
      </c>
    </row>
    <row r="83" spans="1:2" ht="30" customHeight="1" x14ac:dyDescent="0.4">
      <c r="A83" s="299" t="s">
        <v>502</v>
      </c>
      <c r="B83" s="307" t="s">
        <v>311</v>
      </c>
    </row>
    <row r="84" spans="1:2" ht="30" customHeight="1" x14ac:dyDescent="0.4">
      <c r="A84" s="299"/>
      <c r="B84" s="308" t="s">
        <v>19</v>
      </c>
    </row>
    <row r="85" spans="1:2" ht="30" customHeight="1" x14ac:dyDescent="0.4">
      <c r="A85" s="299" t="s">
        <v>19</v>
      </c>
      <c r="B85" s="308" t="s">
        <v>312</v>
      </c>
    </row>
    <row r="86" spans="1:2" ht="30" customHeight="1" x14ac:dyDescent="0.4">
      <c r="A86" s="299" t="s">
        <v>502</v>
      </c>
      <c r="B86" s="308" t="s">
        <v>313</v>
      </c>
    </row>
    <row r="87" spans="1:2" ht="30" customHeight="1" x14ac:dyDescent="0.4">
      <c r="A87" s="299" t="s">
        <v>502</v>
      </c>
      <c r="B87" s="308" t="s">
        <v>314</v>
      </c>
    </row>
    <row r="88" spans="1:2" ht="30" customHeight="1" x14ac:dyDescent="0.4">
      <c r="A88" s="299" t="s">
        <v>502</v>
      </c>
      <c r="B88" s="308" t="s">
        <v>315</v>
      </c>
    </row>
    <row r="89" spans="1:2" ht="30" customHeight="1" x14ac:dyDescent="0.4">
      <c r="A89" s="299" t="s">
        <v>502</v>
      </c>
      <c r="B89" s="308" t="s">
        <v>1111</v>
      </c>
    </row>
    <row r="90" spans="1:2" ht="30" customHeight="1" x14ac:dyDescent="0.4">
      <c r="A90" s="299" t="s">
        <v>502</v>
      </c>
      <c r="B90" s="308" t="s">
        <v>316</v>
      </c>
    </row>
    <row r="91" spans="1:2" ht="30" customHeight="1" x14ac:dyDescent="0.4">
      <c r="A91" s="299" t="s">
        <v>502</v>
      </c>
      <c r="B91" s="308" t="s">
        <v>317</v>
      </c>
    </row>
    <row r="92" spans="1:2" ht="30" customHeight="1" x14ac:dyDescent="0.4">
      <c r="A92" s="299" t="s">
        <v>502</v>
      </c>
      <c r="B92" s="308" t="s">
        <v>318</v>
      </c>
    </row>
    <row r="93" spans="1:2" ht="30" customHeight="1" x14ac:dyDescent="0.4">
      <c r="A93" s="299" t="s">
        <v>502</v>
      </c>
      <c r="B93" s="308" t="s">
        <v>319</v>
      </c>
    </row>
    <row r="94" spans="1:2" ht="30" customHeight="1" x14ac:dyDescent="0.4">
      <c r="A94" s="299" t="s">
        <v>502</v>
      </c>
      <c r="B94" s="308" t="s">
        <v>320</v>
      </c>
    </row>
    <row r="95" spans="1:2" ht="30" customHeight="1" x14ac:dyDescent="0.4">
      <c r="A95" s="299" t="s">
        <v>502</v>
      </c>
      <c r="B95" s="308" t="s">
        <v>321</v>
      </c>
    </row>
    <row r="96" spans="1:2" ht="30" customHeight="1" x14ac:dyDescent="0.4">
      <c r="A96" s="299" t="s">
        <v>502</v>
      </c>
      <c r="B96" s="308" t="s">
        <v>322</v>
      </c>
    </row>
    <row r="97" spans="1:2" ht="30" customHeight="1" x14ac:dyDescent="0.4">
      <c r="A97" s="299" t="s">
        <v>502</v>
      </c>
      <c r="B97" s="308" t="s">
        <v>323</v>
      </c>
    </row>
    <row r="98" spans="1:2" ht="30" customHeight="1" x14ac:dyDescent="0.4">
      <c r="A98" s="299" t="s">
        <v>502</v>
      </c>
      <c r="B98" s="308" t="s">
        <v>324</v>
      </c>
    </row>
    <row r="99" spans="1:2" ht="30" customHeight="1" x14ac:dyDescent="0.4">
      <c r="A99" s="299" t="s">
        <v>502</v>
      </c>
      <c r="B99" s="308" t="s">
        <v>20</v>
      </c>
    </row>
    <row r="100" spans="1:2" ht="30" customHeight="1" x14ac:dyDescent="0.4">
      <c r="A100" s="299" t="s">
        <v>20</v>
      </c>
      <c r="B100" s="308" t="s">
        <v>325</v>
      </c>
    </row>
    <row r="101" spans="1:2" ht="30" customHeight="1" x14ac:dyDescent="0.4">
      <c r="A101" s="299" t="s">
        <v>502</v>
      </c>
      <c r="B101" s="308" t="s">
        <v>326</v>
      </c>
    </row>
    <row r="102" spans="1:2" ht="30" customHeight="1" x14ac:dyDescent="0.4">
      <c r="A102" s="299" t="s">
        <v>502</v>
      </c>
      <c r="B102" s="308" t="s">
        <v>21</v>
      </c>
    </row>
    <row r="103" spans="1:2" ht="30" customHeight="1" x14ac:dyDescent="0.4">
      <c r="A103" s="299" t="s">
        <v>21</v>
      </c>
      <c r="B103" s="308" t="s">
        <v>327</v>
      </c>
    </row>
    <row r="104" spans="1:2" ht="30" customHeight="1" x14ac:dyDescent="0.4">
      <c r="A104" s="299" t="s">
        <v>502</v>
      </c>
      <c r="B104" s="308" t="s">
        <v>328</v>
      </c>
    </row>
    <row r="105" spans="1:2" ht="30" customHeight="1" x14ac:dyDescent="0.4">
      <c r="A105" s="299" t="s">
        <v>502</v>
      </c>
      <c r="B105" s="308" t="s">
        <v>22</v>
      </c>
    </row>
    <row r="106" spans="1:2" ht="30" customHeight="1" x14ac:dyDescent="0.4">
      <c r="A106" s="299" t="s">
        <v>22</v>
      </c>
      <c r="B106" s="308" t="s">
        <v>329</v>
      </c>
    </row>
    <row r="107" spans="1:2" ht="30" customHeight="1" x14ac:dyDescent="0.4">
      <c r="A107" s="299" t="s">
        <v>502</v>
      </c>
      <c r="B107" s="308" t="s">
        <v>330</v>
      </c>
    </row>
    <row r="108" spans="1:2" ht="30" customHeight="1" x14ac:dyDescent="0.4">
      <c r="A108" s="299" t="s">
        <v>502</v>
      </c>
      <c r="B108" s="308" t="s">
        <v>23</v>
      </c>
    </row>
    <row r="109" spans="1:2" ht="30" customHeight="1" x14ac:dyDescent="0.4">
      <c r="A109" s="299" t="s">
        <v>23</v>
      </c>
      <c r="B109" s="308" t="s">
        <v>269</v>
      </c>
    </row>
    <row r="110" spans="1:2" ht="30" customHeight="1" x14ac:dyDescent="0.4">
      <c r="A110" s="299" t="s">
        <v>502</v>
      </c>
      <c r="B110" s="308" t="s">
        <v>331</v>
      </c>
    </row>
    <row r="111" spans="1:2" ht="30" customHeight="1" x14ac:dyDescent="0.4">
      <c r="A111" s="299" t="s">
        <v>331</v>
      </c>
      <c r="B111" s="308" t="s">
        <v>332</v>
      </c>
    </row>
    <row r="112" spans="1:2" ht="30" customHeight="1" x14ac:dyDescent="0.4">
      <c r="A112" s="299" t="s">
        <v>502</v>
      </c>
      <c r="B112" s="308" t="s">
        <v>333</v>
      </c>
    </row>
    <row r="113" spans="1:2" ht="30" customHeight="1" x14ac:dyDescent="0.4">
      <c r="A113" s="299" t="s">
        <v>502</v>
      </c>
      <c r="B113" s="308" t="s">
        <v>334</v>
      </c>
    </row>
    <row r="114" spans="1:2" ht="30" customHeight="1" x14ac:dyDescent="0.4">
      <c r="A114" s="299" t="s">
        <v>502</v>
      </c>
      <c r="B114" s="308" t="s">
        <v>335</v>
      </c>
    </row>
    <row r="115" spans="1:2" ht="30" customHeight="1" x14ac:dyDescent="0.4">
      <c r="A115" s="299" t="s">
        <v>502</v>
      </c>
      <c r="B115" s="308" t="s">
        <v>336</v>
      </c>
    </row>
    <row r="116" spans="1:2" ht="30" customHeight="1" x14ac:dyDescent="0.4">
      <c r="A116" s="299" t="s">
        <v>502</v>
      </c>
      <c r="B116" s="308" t="s">
        <v>337</v>
      </c>
    </row>
    <row r="117" spans="1:2" ht="30" customHeight="1" x14ac:dyDescent="0.4">
      <c r="A117" s="299" t="s">
        <v>502</v>
      </c>
      <c r="B117" s="308" t="s">
        <v>338</v>
      </c>
    </row>
    <row r="118" spans="1:2" ht="30" customHeight="1" x14ac:dyDescent="0.4">
      <c r="A118" s="299" t="s">
        <v>502</v>
      </c>
      <c r="B118" s="308" t="s">
        <v>24</v>
      </c>
    </row>
    <row r="119" spans="1:2" ht="30" customHeight="1" x14ac:dyDescent="0.4">
      <c r="A119" s="299" t="s">
        <v>24</v>
      </c>
      <c r="B119" s="308" t="s">
        <v>339</v>
      </c>
    </row>
    <row r="120" spans="1:2" ht="30" customHeight="1" x14ac:dyDescent="0.4">
      <c r="A120" s="299" t="s">
        <v>502</v>
      </c>
      <c r="B120" s="308" t="s">
        <v>340</v>
      </c>
    </row>
    <row r="121" spans="1:2" ht="30" customHeight="1" x14ac:dyDescent="0.4">
      <c r="A121" s="299" t="s">
        <v>502</v>
      </c>
      <c r="B121" s="308" t="s">
        <v>26</v>
      </c>
    </row>
    <row r="122" spans="1:2" ht="30" customHeight="1" x14ac:dyDescent="0.4">
      <c r="A122" s="299" t="s">
        <v>26</v>
      </c>
      <c r="B122" s="308" t="s">
        <v>341</v>
      </c>
    </row>
    <row r="123" spans="1:2" ht="30" customHeight="1" x14ac:dyDescent="0.4">
      <c r="A123" s="299" t="s">
        <v>502</v>
      </c>
      <c r="B123" s="308" t="s">
        <v>342</v>
      </c>
    </row>
    <row r="124" spans="1:2" ht="30" customHeight="1" x14ac:dyDescent="0.4">
      <c r="A124" s="299" t="s">
        <v>502</v>
      </c>
      <c r="B124" s="307" t="s">
        <v>343</v>
      </c>
    </row>
    <row r="125" spans="1:2" ht="30" customHeight="1" x14ac:dyDescent="0.4">
      <c r="A125" s="299"/>
      <c r="B125" s="308" t="s">
        <v>27</v>
      </c>
    </row>
    <row r="126" spans="1:2" ht="30" customHeight="1" x14ac:dyDescent="0.4">
      <c r="A126" s="299" t="s">
        <v>27</v>
      </c>
      <c r="B126" s="308" t="s">
        <v>344</v>
      </c>
    </row>
    <row r="127" spans="1:2" ht="30" customHeight="1" x14ac:dyDescent="0.4">
      <c r="A127" s="299" t="s">
        <v>502</v>
      </c>
      <c r="B127" s="308" t="s">
        <v>28</v>
      </c>
    </row>
    <row r="128" spans="1:2" ht="30" customHeight="1" x14ac:dyDescent="0.4">
      <c r="A128" s="299" t="s">
        <v>28</v>
      </c>
      <c r="B128" s="308" t="s">
        <v>345</v>
      </c>
    </row>
    <row r="129" spans="1:2" ht="30" customHeight="1" x14ac:dyDescent="0.4">
      <c r="A129" s="299" t="s">
        <v>502</v>
      </c>
      <c r="B129" s="308" t="s">
        <v>346</v>
      </c>
    </row>
    <row r="130" spans="1:2" ht="30" customHeight="1" x14ac:dyDescent="0.4">
      <c r="A130" s="299" t="s">
        <v>502</v>
      </c>
      <c r="B130" s="308" t="s">
        <v>29</v>
      </c>
    </row>
    <row r="131" spans="1:2" ht="30" customHeight="1" x14ac:dyDescent="0.4">
      <c r="A131" s="299" t="s">
        <v>29</v>
      </c>
      <c r="B131" s="308" t="s">
        <v>347</v>
      </c>
    </row>
    <row r="132" spans="1:2" ht="30" customHeight="1" x14ac:dyDescent="0.4">
      <c r="A132" s="299" t="s">
        <v>502</v>
      </c>
      <c r="B132" s="308" t="s">
        <v>348</v>
      </c>
    </row>
    <row r="133" spans="1:2" ht="30" customHeight="1" x14ac:dyDescent="0.4">
      <c r="A133" s="299" t="s">
        <v>502</v>
      </c>
      <c r="B133" s="308" t="s">
        <v>30</v>
      </c>
    </row>
    <row r="134" spans="1:2" ht="30" customHeight="1" x14ac:dyDescent="0.4">
      <c r="A134" s="299" t="s">
        <v>30</v>
      </c>
      <c r="B134" s="308" t="s">
        <v>1112</v>
      </c>
    </row>
    <row r="135" spans="1:2" ht="30" customHeight="1" x14ac:dyDescent="0.4">
      <c r="A135" s="299" t="s">
        <v>502</v>
      </c>
      <c r="B135" s="308" t="s">
        <v>349</v>
      </c>
    </row>
    <row r="136" spans="1:2" ht="30" customHeight="1" x14ac:dyDescent="0.4">
      <c r="A136" s="299" t="s">
        <v>502</v>
      </c>
      <c r="B136" s="308" t="s">
        <v>1113</v>
      </c>
    </row>
    <row r="137" spans="1:2" ht="30" customHeight="1" x14ac:dyDescent="0.4">
      <c r="A137" s="299" t="s">
        <v>502</v>
      </c>
      <c r="B137" s="308" t="s">
        <v>350</v>
      </c>
    </row>
    <row r="138" spans="1:2" ht="30" customHeight="1" x14ac:dyDescent="0.4">
      <c r="A138" s="299" t="s">
        <v>502</v>
      </c>
      <c r="B138" s="308" t="s">
        <v>1114</v>
      </c>
    </row>
    <row r="139" spans="1:2" ht="30" customHeight="1" x14ac:dyDescent="0.4">
      <c r="A139" s="299" t="s">
        <v>502</v>
      </c>
      <c r="B139" s="308" t="s">
        <v>351</v>
      </c>
    </row>
    <row r="140" spans="1:2" ht="30" customHeight="1" x14ac:dyDescent="0.4">
      <c r="A140" s="299" t="s">
        <v>502</v>
      </c>
      <c r="B140" s="308" t="s">
        <v>352</v>
      </c>
    </row>
    <row r="141" spans="1:2" ht="30" customHeight="1" x14ac:dyDescent="0.4">
      <c r="A141" s="299" t="s">
        <v>502</v>
      </c>
      <c r="B141" s="308" t="s">
        <v>353</v>
      </c>
    </row>
    <row r="142" spans="1:2" ht="30" customHeight="1" x14ac:dyDescent="0.4">
      <c r="A142" s="299" t="s">
        <v>353</v>
      </c>
      <c r="B142" s="308" t="s">
        <v>354</v>
      </c>
    </row>
    <row r="143" spans="1:2" ht="30" customHeight="1" x14ac:dyDescent="0.4">
      <c r="A143" s="299" t="s">
        <v>502</v>
      </c>
      <c r="B143" s="308" t="s">
        <v>355</v>
      </c>
    </row>
    <row r="144" spans="1:2" ht="30" customHeight="1" x14ac:dyDescent="0.4">
      <c r="A144" s="299" t="s">
        <v>502</v>
      </c>
      <c r="B144" s="308" t="s">
        <v>1115</v>
      </c>
    </row>
    <row r="145" spans="1:2" ht="30" customHeight="1" x14ac:dyDescent="0.4">
      <c r="A145" s="299" t="s">
        <v>502</v>
      </c>
      <c r="B145" s="308" t="s">
        <v>1116</v>
      </c>
    </row>
    <row r="146" spans="1:2" ht="30" customHeight="1" x14ac:dyDescent="0.4">
      <c r="A146" s="299" t="s">
        <v>502</v>
      </c>
      <c r="B146" s="308" t="s">
        <v>356</v>
      </c>
    </row>
    <row r="147" spans="1:2" ht="30" customHeight="1" x14ac:dyDescent="0.4">
      <c r="A147" s="299" t="s">
        <v>502</v>
      </c>
      <c r="B147" s="308" t="s">
        <v>31</v>
      </c>
    </row>
    <row r="148" spans="1:2" ht="30" customHeight="1" x14ac:dyDescent="0.4">
      <c r="A148" s="299" t="s">
        <v>31</v>
      </c>
      <c r="B148" s="308" t="s">
        <v>357</v>
      </c>
    </row>
    <row r="149" spans="1:2" ht="30" customHeight="1" x14ac:dyDescent="0.4">
      <c r="A149" s="299" t="s">
        <v>502</v>
      </c>
      <c r="B149" s="308" t="s">
        <v>358</v>
      </c>
    </row>
    <row r="150" spans="1:2" ht="30" customHeight="1" x14ac:dyDescent="0.4">
      <c r="A150" s="299" t="s">
        <v>502</v>
      </c>
      <c r="B150" s="308" t="s">
        <v>359</v>
      </c>
    </row>
    <row r="151" spans="1:2" ht="30" customHeight="1" x14ac:dyDescent="0.4">
      <c r="A151" s="299" t="s">
        <v>502</v>
      </c>
      <c r="B151" s="308" t="s">
        <v>360</v>
      </c>
    </row>
    <row r="152" spans="1:2" ht="30" customHeight="1" x14ac:dyDescent="0.4">
      <c r="A152" s="299" t="s">
        <v>502</v>
      </c>
      <c r="B152" s="308" t="s">
        <v>361</v>
      </c>
    </row>
    <row r="153" spans="1:2" ht="30" customHeight="1" x14ac:dyDescent="0.4">
      <c r="A153" s="299" t="s">
        <v>502</v>
      </c>
      <c r="B153" s="308" t="s">
        <v>32</v>
      </c>
    </row>
    <row r="154" spans="1:2" ht="30" customHeight="1" x14ac:dyDescent="0.4">
      <c r="A154" s="299" t="s">
        <v>32</v>
      </c>
      <c r="B154" s="308" t="s">
        <v>362</v>
      </c>
    </row>
    <row r="155" spans="1:2" ht="30" customHeight="1" x14ac:dyDescent="0.4">
      <c r="A155" s="299" t="s">
        <v>502</v>
      </c>
      <c r="B155" s="308" t="s">
        <v>363</v>
      </c>
    </row>
    <row r="156" spans="1:2" ht="30" customHeight="1" x14ac:dyDescent="0.4">
      <c r="A156" s="299" t="s">
        <v>502</v>
      </c>
      <c r="B156" s="308" t="s">
        <v>364</v>
      </c>
    </row>
    <row r="157" spans="1:2" ht="30" customHeight="1" x14ac:dyDescent="0.4">
      <c r="A157" s="299" t="s">
        <v>502</v>
      </c>
      <c r="B157" s="308" t="s">
        <v>365</v>
      </c>
    </row>
    <row r="158" spans="1:2" ht="30" customHeight="1" x14ac:dyDescent="0.4">
      <c r="A158" s="299" t="s">
        <v>502</v>
      </c>
      <c r="B158" s="308" t="s">
        <v>366</v>
      </c>
    </row>
    <row r="159" spans="1:2" ht="30" customHeight="1" x14ac:dyDescent="0.4">
      <c r="A159" s="299" t="s">
        <v>502</v>
      </c>
      <c r="B159" s="308" t="s">
        <v>367</v>
      </c>
    </row>
    <row r="160" spans="1:2" ht="30" customHeight="1" x14ac:dyDescent="0.4">
      <c r="A160" s="299" t="s">
        <v>502</v>
      </c>
      <c r="B160" s="308" t="s">
        <v>368</v>
      </c>
    </row>
    <row r="161" spans="1:2" ht="30" customHeight="1" x14ac:dyDescent="0.4">
      <c r="A161" s="299" t="s">
        <v>502</v>
      </c>
      <c r="B161" s="308" t="s">
        <v>369</v>
      </c>
    </row>
    <row r="162" spans="1:2" ht="30" customHeight="1" x14ac:dyDescent="0.4">
      <c r="A162" s="385" t="s">
        <v>369</v>
      </c>
      <c r="B162" s="309" t="s">
        <v>370</v>
      </c>
    </row>
    <row r="163" spans="1:2" ht="30" customHeight="1" x14ac:dyDescent="0.4">
      <c r="A163" s="386"/>
      <c r="B163" s="310" t="s">
        <v>371</v>
      </c>
    </row>
    <row r="164" spans="1:2" ht="30" customHeight="1" x14ac:dyDescent="0.4">
      <c r="A164" s="386"/>
      <c r="B164" s="310" t="s">
        <v>372</v>
      </c>
    </row>
    <row r="165" spans="1:2" ht="30" customHeight="1" x14ac:dyDescent="0.4">
      <c r="A165" s="386"/>
      <c r="B165" s="310" t="s">
        <v>373</v>
      </c>
    </row>
    <row r="166" spans="1:2" ht="30" customHeight="1" x14ac:dyDescent="0.4">
      <c r="A166" s="386"/>
      <c r="B166" s="310" t="s">
        <v>1117</v>
      </c>
    </row>
    <row r="167" spans="1:2" ht="30" customHeight="1" x14ac:dyDescent="0.4">
      <c r="A167" s="386"/>
      <c r="B167" s="310" t="s">
        <v>374</v>
      </c>
    </row>
    <row r="168" spans="1:2" ht="30" customHeight="1" x14ac:dyDescent="0.4">
      <c r="A168" s="386"/>
      <c r="B168" s="310" t="s">
        <v>375</v>
      </c>
    </row>
    <row r="169" spans="1:2" ht="30" customHeight="1" x14ac:dyDescent="0.4">
      <c r="A169" s="386"/>
      <c r="B169" s="310" t="s">
        <v>376</v>
      </c>
    </row>
    <row r="170" spans="1:2" ht="30" customHeight="1" x14ac:dyDescent="0.4">
      <c r="A170" s="386"/>
      <c r="B170" s="310" t="s">
        <v>377</v>
      </c>
    </row>
    <row r="171" spans="1:2" ht="30" customHeight="1" x14ac:dyDescent="0.4">
      <c r="A171" s="387"/>
      <c r="B171" s="311" t="s">
        <v>378</v>
      </c>
    </row>
    <row r="172" spans="1:2" ht="30" customHeight="1" x14ac:dyDescent="0.4">
      <c r="A172" s="299" t="s">
        <v>502</v>
      </c>
      <c r="B172" s="308" t="s">
        <v>379</v>
      </c>
    </row>
    <row r="173" spans="1:2" ht="30" customHeight="1" x14ac:dyDescent="0.4">
      <c r="A173" s="384" t="s">
        <v>379</v>
      </c>
      <c r="B173" s="308" t="s">
        <v>1118</v>
      </c>
    </row>
    <row r="174" spans="1:2" ht="30" customHeight="1" x14ac:dyDescent="0.4">
      <c r="A174" s="384"/>
      <c r="B174" s="308" t="s">
        <v>1119</v>
      </c>
    </row>
    <row r="175" spans="1:2" ht="30" customHeight="1" x14ac:dyDescent="0.4">
      <c r="A175" s="384"/>
      <c r="B175" s="308" t="s">
        <v>1120</v>
      </c>
    </row>
    <row r="176" spans="1:2" ht="30" customHeight="1" x14ac:dyDescent="0.4">
      <c r="A176" s="384"/>
      <c r="B176" s="308" t="s">
        <v>380</v>
      </c>
    </row>
    <row r="177" spans="1:2" ht="30" customHeight="1" x14ac:dyDescent="0.4">
      <c r="A177" s="384"/>
      <c r="B177" s="308" t="s">
        <v>381</v>
      </c>
    </row>
    <row r="178" spans="1:2" ht="30" customHeight="1" x14ac:dyDescent="0.4">
      <c r="A178" s="384"/>
      <c r="B178" s="308" t="s">
        <v>1121</v>
      </c>
    </row>
    <row r="179" spans="1:2" ht="30" customHeight="1" x14ac:dyDescent="0.4">
      <c r="A179" s="384"/>
      <c r="B179" s="308" t="s">
        <v>382</v>
      </c>
    </row>
    <row r="180" spans="1:2" ht="30" customHeight="1" x14ac:dyDescent="0.4">
      <c r="A180" s="384"/>
      <c r="B180" s="308" t="s">
        <v>1122</v>
      </c>
    </row>
    <row r="181" spans="1:2" ht="30" customHeight="1" x14ac:dyDescent="0.4">
      <c r="A181" s="384"/>
      <c r="B181" s="308" t="s">
        <v>1123</v>
      </c>
    </row>
    <row r="182" spans="1:2" ht="30" customHeight="1" x14ac:dyDescent="0.4">
      <c r="A182" s="299" t="s">
        <v>502</v>
      </c>
      <c r="B182" s="308" t="s">
        <v>383</v>
      </c>
    </row>
    <row r="183" spans="1:2" ht="30" customHeight="1" x14ac:dyDescent="0.4">
      <c r="A183" s="299" t="s">
        <v>383</v>
      </c>
      <c r="B183" s="308" t="s">
        <v>384</v>
      </c>
    </row>
    <row r="184" spans="1:2" ht="30" customHeight="1" x14ac:dyDescent="0.4">
      <c r="A184" s="299" t="s">
        <v>502</v>
      </c>
      <c r="B184" s="308" t="s">
        <v>385</v>
      </c>
    </row>
    <row r="185" spans="1:2" ht="30" customHeight="1" x14ac:dyDescent="0.4">
      <c r="A185" s="299" t="s">
        <v>502</v>
      </c>
      <c r="B185" s="308" t="s">
        <v>386</v>
      </c>
    </row>
    <row r="186" spans="1:2" ht="30" customHeight="1" x14ac:dyDescent="0.4">
      <c r="A186" s="299" t="s">
        <v>502</v>
      </c>
      <c r="B186" s="308" t="s">
        <v>33</v>
      </c>
    </row>
    <row r="187" spans="1:2" ht="30" customHeight="1" x14ac:dyDescent="0.4">
      <c r="A187" s="299" t="s">
        <v>33</v>
      </c>
      <c r="B187" s="308" t="s">
        <v>269</v>
      </c>
    </row>
    <row r="188" spans="1:2" ht="30" customHeight="1" x14ac:dyDescent="0.4">
      <c r="A188" s="299" t="s">
        <v>502</v>
      </c>
      <c r="B188" s="308" t="s">
        <v>387</v>
      </c>
    </row>
    <row r="189" spans="1:2" ht="30" customHeight="1" x14ac:dyDescent="0.4">
      <c r="A189" s="299" t="s">
        <v>387</v>
      </c>
      <c r="B189" s="308" t="s">
        <v>388</v>
      </c>
    </row>
    <row r="190" spans="1:2" ht="30" customHeight="1" x14ac:dyDescent="0.4">
      <c r="A190" s="299" t="s">
        <v>502</v>
      </c>
      <c r="B190" s="308" t="s">
        <v>389</v>
      </c>
    </row>
    <row r="191" spans="1:2" ht="30" customHeight="1" x14ac:dyDescent="0.4">
      <c r="A191" s="299" t="s">
        <v>502</v>
      </c>
      <c r="B191" s="308" t="s">
        <v>390</v>
      </c>
    </row>
    <row r="192" spans="1:2" ht="30" customHeight="1" x14ac:dyDescent="0.4">
      <c r="A192" s="299" t="s">
        <v>502</v>
      </c>
      <c r="B192" s="308" t="s">
        <v>1149</v>
      </c>
    </row>
    <row r="193" spans="1:2" ht="30" customHeight="1" x14ac:dyDescent="0.4">
      <c r="A193" s="382" t="s">
        <v>34</v>
      </c>
      <c r="B193" s="312" t="s">
        <v>1136</v>
      </c>
    </row>
    <row r="194" spans="1:2" ht="30" customHeight="1" x14ac:dyDescent="0.4">
      <c r="A194" s="383"/>
      <c r="B194" s="313" t="s">
        <v>1137</v>
      </c>
    </row>
    <row r="195" spans="1:2" ht="30" customHeight="1" x14ac:dyDescent="0.4">
      <c r="A195" s="383"/>
      <c r="B195" s="314" t="s">
        <v>1138</v>
      </c>
    </row>
    <row r="196" spans="1:2" ht="30" customHeight="1" x14ac:dyDescent="0.4">
      <c r="A196" s="383"/>
      <c r="B196" s="330" t="s">
        <v>1147</v>
      </c>
    </row>
    <row r="197" spans="1:2" ht="30" customHeight="1" x14ac:dyDescent="0.4">
      <c r="A197" s="383"/>
      <c r="B197" s="314" t="s">
        <v>1124</v>
      </c>
    </row>
    <row r="198" spans="1:2" ht="30" customHeight="1" x14ac:dyDescent="0.4">
      <c r="A198" s="383"/>
      <c r="B198" s="314" t="s">
        <v>1125</v>
      </c>
    </row>
    <row r="199" spans="1:2" ht="30" customHeight="1" x14ac:dyDescent="0.4">
      <c r="A199" s="383"/>
      <c r="B199" s="330" t="s">
        <v>391</v>
      </c>
    </row>
    <row r="200" spans="1:2" ht="30" customHeight="1" x14ac:dyDescent="0.4">
      <c r="A200" s="383"/>
      <c r="B200" s="314" t="s">
        <v>392</v>
      </c>
    </row>
    <row r="201" spans="1:2" ht="30" customHeight="1" x14ac:dyDescent="0.4">
      <c r="A201" s="383"/>
      <c r="B201" s="314" t="s">
        <v>25</v>
      </c>
    </row>
    <row r="202" spans="1:2" ht="30" customHeight="1" x14ac:dyDescent="0.4">
      <c r="A202" s="383"/>
      <c r="B202" s="314" t="s">
        <v>393</v>
      </c>
    </row>
    <row r="203" spans="1:2" ht="30" customHeight="1" x14ac:dyDescent="0.4">
      <c r="A203" s="388"/>
      <c r="B203" s="315" t="s">
        <v>394</v>
      </c>
    </row>
    <row r="204" spans="1:2" ht="30" customHeight="1" x14ac:dyDescent="0.4">
      <c r="A204" s="299" t="s">
        <v>502</v>
      </c>
      <c r="B204" s="308" t="s">
        <v>395</v>
      </c>
    </row>
    <row r="205" spans="1:2" ht="30" customHeight="1" x14ac:dyDescent="0.4">
      <c r="A205" s="382" t="s">
        <v>395</v>
      </c>
      <c r="B205" s="319" t="s">
        <v>396</v>
      </c>
    </row>
    <row r="206" spans="1:2" ht="30" customHeight="1" x14ac:dyDescent="0.4">
      <c r="A206" s="383"/>
      <c r="B206" s="314" t="s">
        <v>397</v>
      </c>
    </row>
    <row r="207" spans="1:2" ht="30" customHeight="1" x14ac:dyDescent="0.4">
      <c r="A207" s="383"/>
      <c r="B207" s="314" t="s">
        <v>398</v>
      </c>
    </row>
    <row r="208" spans="1:2" ht="30" customHeight="1" x14ac:dyDescent="0.4">
      <c r="A208" s="383"/>
      <c r="B208" s="314" t="s">
        <v>1139</v>
      </c>
    </row>
    <row r="209" spans="1:2" ht="30" customHeight="1" x14ac:dyDescent="0.4">
      <c r="A209" s="383"/>
      <c r="B209" s="314" t="s">
        <v>1126</v>
      </c>
    </row>
    <row r="210" spans="1:2" ht="30" customHeight="1" x14ac:dyDescent="0.4">
      <c r="A210" s="383"/>
      <c r="B210" s="314" t="s">
        <v>1127</v>
      </c>
    </row>
    <row r="211" spans="1:2" ht="30" customHeight="1" x14ac:dyDescent="0.4">
      <c r="A211" s="383"/>
      <c r="B211" s="314" t="s">
        <v>1128</v>
      </c>
    </row>
    <row r="212" spans="1:2" ht="30" customHeight="1" x14ac:dyDescent="0.4">
      <c r="A212" s="383"/>
      <c r="B212" s="314" t="s">
        <v>399</v>
      </c>
    </row>
    <row r="213" spans="1:2" ht="30" customHeight="1" x14ac:dyDescent="0.4">
      <c r="A213" s="383"/>
      <c r="B213" s="314" t="s">
        <v>1129</v>
      </c>
    </row>
    <row r="214" spans="1:2" ht="30" customHeight="1" x14ac:dyDescent="0.4">
      <c r="A214" s="383"/>
      <c r="B214" s="313" t="s">
        <v>400</v>
      </c>
    </row>
    <row r="215" spans="1:2" ht="30" customHeight="1" x14ac:dyDescent="0.4">
      <c r="A215" s="383"/>
      <c r="B215" s="320" t="s">
        <v>1143</v>
      </c>
    </row>
    <row r="216" spans="1:2" ht="30" customHeight="1" x14ac:dyDescent="0.4">
      <c r="A216" s="383"/>
      <c r="B216" s="314" t="s">
        <v>401</v>
      </c>
    </row>
    <row r="217" spans="1:2" ht="30" customHeight="1" x14ac:dyDescent="0.4">
      <c r="A217" s="383"/>
      <c r="B217" s="314" t="s">
        <v>402</v>
      </c>
    </row>
    <row r="218" spans="1:2" ht="30" customHeight="1" x14ac:dyDescent="0.4">
      <c r="A218" s="388"/>
      <c r="B218" s="315" t="s">
        <v>403</v>
      </c>
    </row>
    <row r="219" spans="1:2" ht="30" customHeight="1" x14ac:dyDescent="0.4">
      <c r="A219" s="299" t="s">
        <v>502</v>
      </c>
      <c r="B219" s="308" t="s">
        <v>404</v>
      </c>
    </row>
    <row r="220" spans="1:2" ht="30" customHeight="1" x14ac:dyDescent="0.4">
      <c r="A220" s="299" t="s">
        <v>404</v>
      </c>
      <c r="B220" s="308" t="s">
        <v>405</v>
      </c>
    </row>
    <row r="221" spans="1:2" ht="30" customHeight="1" x14ac:dyDescent="0.4">
      <c r="A221" s="299" t="s">
        <v>502</v>
      </c>
      <c r="B221" s="308" t="s">
        <v>406</v>
      </c>
    </row>
    <row r="222" spans="1:2" ht="30" customHeight="1" x14ac:dyDescent="0.4">
      <c r="A222" s="299" t="s">
        <v>502</v>
      </c>
      <c r="B222" s="308" t="s">
        <v>407</v>
      </c>
    </row>
    <row r="223" spans="1:2" ht="30" customHeight="1" x14ac:dyDescent="0.4">
      <c r="A223" s="299" t="s">
        <v>502</v>
      </c>
      <c r="B223" s="308" t="s">
        <v>1130</v>
      </c>
    </row>
    <row r="224" spans="1:2" ht="30" customHeight="1" x14ac:dyDescent="0.4">
      <c r="A224" s="299" t="s">
        <v>502</v>
      </c>
      <c r="B224" s="308" t="s">
        <v>408</v>
      </c>
    </row>
    <row r="225" spans="1:2" ht="30" customHeight="1" x14ac:dyDescent="0.4">
      <c r="A225" s="299" t="s">
        <v>408</v>
      </c>
      <c r="B225" s="308" t="s">
        <v>409</v>
      </c>
    </row>
    <row r="226" spans="1:2" ht="30" customHeight="1" x14ac:dyDescent="0.4">
      <c r="A226" s="299" t="s">
        <v>502</v>
      </c>
      <c r="B226" s="308" t="s">
        <v>410</v>
      </c>
    </row>
    <row r="227" spans="1:2" ht="30" customHeight="1" x14ac:dyDescent="0.4">
      <c r="A227" s="299" t="s">
        <v>502</v>
      </c>
      <c r="B227" s="307" t="s">
        <v>411</v>
      </c>
    </row>
    <row r="228" spans="1:2" ht="30" customHeight="1" x14ac:dyDescent="0.4">
      <c r="A228" s="299"/>
      <c r="B228" s="308" t="s">
        <v>35</v>
      </c>
    </row>
    <row r="229" spans="1:2" ht="30" customHeight="1" x14ac:dyDescent="0.4">
      <c r="A229" s="299" t="s">
        <v>35</v>
      </c>
      <c r="B229" s="308" t="s">
        <v>412</v>
      </c>
    </row>
    <row r="230" spans="1:2" ht="30" customHeight="1" x14ac:dyDescent="0.4">
      <c r="A230" s="299" t="s">
        <v>502</v>
      </c>
      <c r="B230" s="308" t="s">
        <v>413</v>
      </c>
    </row>
    <row r="231" spans="1:2" ht="30" customHeight="1" x14ac:dyDescent="0.4">
      <c r="A231" s="299" t="s">
        <v>502</v>
      </c>
      <c r="B231" s="308" t="s">
        <v>36</v>
      </c>
    </row>
    <row r="232" spans="1:2" ht="30" customHeight="1" x14ac:dyDescent="0.4">
      <c r="A232" s="299" t="s">
        <v>36</v>
      </c>
      <c r="B232" s="308" t="s">
        <v>414</v>
      </c>
    </row>
    <row r="233" spans="1:2" ht="30" customHeight="1" x14ac:dyDescent="0.4">
      <c r="A233" s="299" t="s">
        <v>502</v>
      </c>
      <c r="B233" s="307" t="s">
        <v>415</v>
      </c>
    </row>
    <row r="234" spans="1:2" ht="30" customHeight="1" x14ac:dyDescent="0.4">
      <c r="A234" s="299"/>
      <c r="B234" s="308" t="s">
        <v>37</v>
      </c>
    </row>
    <row r="235" spans="1:2" ht="30" customHeight="1" x14ac:dyDescent="0.4">
      <c r="A235" s="299" t="s">
        <v>37</v>
      </c>
      <c r="B235" s="308" t="s">
        <v>416</v>
      </c>
    </row>
    <row r="236" spans="1:2" ht="30" customHeight="1" x14ac:dyDescent="0.4">
      <c r="A236" s="299" t="s">
        <v>502</v>
      </c>
      <c r="B236" s="308" t="s">
        <v>417</v>
      </c>
    </row>
    <row r="237" spans="1:2" ht="30" customHeight="1" x14ac:dyDescent="0.4">
      <c r="A237" s="299" t="s">
        <v>502</v>
      </c>
      <c r="B237" s="308" t="s">
        <v>38</v>
      </c>
    </row>
    <row r="238" spans="1:2" ht="30" customHeight="1" x14ac:dyDescent="0.4">
      <c r="A238" s="299" t="s">
        <v>38</v>
      </c>
      <c r="B238" s="308" t="s">
        <v>269</v>
      </c>
    </row>
    <row r="239" spans="1:2" ht="30" customHeight="1" x14ac:dyDescent="0.4">
      <c r="A239" s="299" t="s">
        <v>502</v>
      </c>
      <c r="B239" s="308" t="s">
        <v>39</v>
      </c>
    </row>
    <row r="240" spans="1:2" ht="30" customHeight="1" x14ac:dyDescent="0.4">
      <c r="A240" s="299" t="s">
        <v>39</v>
      </c>
      <c r="B240" s="308" t="s">
        <v>418</v>
      </c>
    </row>
    <row r="241" spans="1:2" ht="30" customHeight="1" x14ac:dyDescent="0.4">
      <c r="A241" s="299" t="s">
        <v>502</v>
      </c>
      <c r="B241" s="308" t="s">
        <v>419</v>
      </c>
    </row>
    <row r="242" spans="1:2" ht="30" customHeight="1" x14ac:dyDescent="0.4">
      <c r="A242" s="299" t="s">
        <v>502</v>
      </c>
      <c r="B242" s="308" t="s">
        <v>420</v>
      </c>
    </row>
    <row r="243" spans="1:2" ht="30" customHeight="1" x14ac:dyDescent="0.4">
      <c r="A243" s="299" t="s">
        <v>502</v>
      </c>
      <c r="B243" s="308" t="s">
        <v>421</v>
      </c>
    </row>
    <row r="244" spans="1:2" ht="30" customHeight="1" x14ac:dyDescent="0.4">
      <c r="A244" s="299" t="s">
        <v>502</v>
      </c>
      <c r="B244" s="308" t="s">
        <v>422</v>
      </c>
    </row>
    <row r="245" spans="1:2" ht="30" customHeight="1" x14ac:dyDescent="0.4">
      <c r="A245" s="299" t="s">
        <v>422</v>
      </c>
      <c r="B245" s="308" t="s">
        <v>423</v>
      </c>
    </row>
    <row r="246" spans="1:2" ht="30" customHeight="1" x14ac:dyDescent="0.4">
      <c r="A246" s="299" t="s">
        <v>502</v>
      </c>
      <c r="B246" s="308" t="s">
        <v>424</v>
      </c>
    </row>
    <row r="247" spans="1:2" ht="30" customHeight="1" x14ac:dyDescent="0.4">
      <c r="A247" s="299" t="s">
        <v>502</v>
      </c>
      <c r="B247" s="308" t="s">
        <v>425</v>
      </c>
    </row>
    <row r="248" spans="1:2" ht="30" customHeight="1" x14ac:dyDescent="0.4">
      <c r="A248" s="299" t="s">
        <v>502</v>
      </c>
      <c r="B248" s="308" t="s">
        <v>1131</v>
      </c>
    </row>
    <row r="249" spans="1:2" ht="30" customHeight="1" x14ac:dyDescent="0.4">
      <c r="A249" s="299"/>
      <c r="B249" s="308" t="s">
        <v>1132</v>
      </c>
    </row>
    <row r="250" spans="1:2" ht="30" customHeight="1" x14ac:dyDescent="0.4">
      <c r="A250" s="299" t="s">
        <v>1132</v>
      </c>
      <c r="B250" s="308" t="s">
        <v>426</v>
      </c>
    </row>
    <row r="251" spans="1:2" ht="30" customHeight="1" x14ac:dyDescent="0.4">
      <c r="A251" s="299" t="s">
        <v>502</v>
      </c>
      <c r="B251" s="308" t="s">
        <v>1133</v>
      </c>
    </row>
    <row r="252" spans="1:2" ht="30" customHeight="1" x14ac:dyDescent="0.4">
      <c r="A252" s="299" t="s">
        <v>502</v>
      </c>
      <c r="B252" s="308" t="s">
        <v>427</v>
      </c>
    </row>
    <row r="253" spans="1:2" ht="30" customHeight="1" x14ac:dyDescent="0.4">
      <c r="A253" s="299" t="s">
        <v>502</v>
      </c>
      <c r="B253" s="308" t="s">
        <v>428</v>
      </c>
    </row>
    <row r="254" spans="1:2" ht="30" customHeight="1" x14ac:dyDescent="0.4">
      <c r="A254" s="299" t="s">
        <v>502</v>
      </c>
      <c r="B254" s="307" t="s">
        <v>429</v>
      </c>
    </row>
    <row r="255" spans="1:2" ht="30" customHeight="1" x14ac:dyDescent="0.4">
      <c r="A255" s="299"/>
      <c r="B255" s="308" t="s">
        <v>40</v>
      </c>
    </row>
    <row r="256" spans="1:2" ht="30" customHeight="1" x14ac:dyDescent="0.4">
      <c r="A256" s="299" t="s">
        <v>40</v>
      </c>
      <c r="B256" s="308" t="s">
        <v>430</v>
      </c>
    </row>
    <row r="257" spans="1:2" ht="30" customHeight="1" x14ac:dyDescent="0.4">
      <c r="A257" s="299" t="s">
        <v>502</v>
      </c>
      <c r="B257" s="308" t="s">
        <v>41</v>
      </c>
    </row>
    <row r="258" spans="1:2" ht="30" customHeight="1" x14ac:dyDescent="0.4">
      <c r="A258" s="299" t="s">
        <v>41</v>
      </c>
      <c r="B258" s="308" t="s">
        <v>431</v>
      </c>
    </row>
    <row r="259" spans="1:2" ht="30" customHeight="1" x14ac:dyDescent="0.4">
      <c r="A259" s="299" t="s">
        <v>502</v>
      </c>
      <c r="B259" s="308" t="s">
        <v>432</v>
      </c>
    </row>
    <row r="260" spans="1:2" ht="30" customHeight="1" x14ac:dyDescent="0.4">
      <c r="A260" s="299" t="s">
        <v>502</v>
      </c>
      <c r="B260" s="308" t="s">
        <v>433</v>
      </c>
    </row>
    <row r="261" spans="1:2" ht="30" customHeight="1" x14ac:dyDescent="0.4">
      <c r="A261" s="299" t="s">
        <v>502</v>
      </c>
      <c r="B261" s="308" t="s">
        <v>434</v>
      </c>
    </row>
    <row r="262" spans="1:2" ht="30" customHeight="1" x14ac:dyDescent="0.4">
      <c r="A262" s="299" t="s">
        <v>502</v>
      </c>
      <c r="B262" s="308" t="s">
        <v>25</v>
      </c>
    </row>
    <row r="263" spans="1:2" ht="30" customHeight="1" x14ac:dyDescent="0.4">
      <c r="A263" s="299" t="s">
        <v>502</v>
      </c>
      <c r="B263" s="308" t="s">
        <v>42</v>
      </c>
    </row>
    <row r="264" spans="1:2" ht="30" customHeight="1" x14ac:dyDescent="0.4">
      <c r="A264" s="299" t="s">
        <v>42</v>
      </c>
      <c r="B264" s="308" t="s">
        <v>435</v>
      </c>
    </row>
    <row r="265" spans="1:2" ht="30" customHeight="1" x14ac:dyDescent="0.4">
      <c r="A265" s="299" t="s">
        <v>502</v>
      </c>
      <c r="B265" s="308" t="s">
        <v>436</v>
      </c>
    </row>
    <row r="266" spans="1:2" ht="30" customHeight="1" x14ac:dyDescent="0.4">
      <c r="A266" s="299" t="s">
        <v>502</v>
      </c>
      <c r="B266" s="308" t="s">
        <v>43</v>
      </c>
    </row>
    <row r="267" spans="1:2" ht="30" customHeight="1" x14ac:dyDescent="0.4">
      <c r="A267" s="299" t="s">
        <v>43</v>
      </c>
      <c r="B267" s="308" t="s">
        <v>437</v>
      </c>
    </row>
    <row r="268" spans="1:2" ht="30" customHeight="1" x14ac:dyDescent="0.4">
      <c r="A268" s="299" t="s">
        <v>502</v>
      </c>
      <c r="B268" s="308" t="s">
        <v>438</v>
      </c>
    </row>
    <row r="269" spans="1:2" ht="30" customHeight="1" x14ac:dyDescent="0.4">
      <c r="A269" s="299" t="s">
        <v>502</v>
      </c>
      <c r="B269" s="308" t="s">
        <v>44</v>
      </c>
    </row>
    <row r="270" spans="1:2" ht="30" customHeight="1" x14ac:dyDescent="0.4">
      <c r="A270" s="299" t="s">
        <v>44</v>
      </c>
      <c r="B270" s="308" t="s">
        <v>439</v>
      </c>
    </row>
    <row r="271" spans="1:2" ht="30" customHeight="1" x14ac:dyDescent="0.4">
      <c r="A271" s="299" t="s">
        <v>502</v>
      </c>
      <c r="B271" s="308" t="s">
        <v>440</v>
      </c>
    </row>
    <row r="272" spans="1:2" ht="30" customHeight="1" x14ac:dyDescent="0.4">
      <c r="A272" s="299" t="s">
        <v>502</v>
      </c>
      <c r="B272" s="308" t="s">
        <v>441</v>
      </c>
    </row>
    <row r="273" spans="1:2" ht="30" customHeight="1" x14ac:dyDescent="0.4">
      <c r="A273" s="299" t="s">
        <v>502</v>
      </c>
      <c r="B273" s="308" t="s">
        <v>442</v>
      </c>
    </row>
    <row r="274" spans="1:2" ht="30" customHeight="1" x14ac:dyDescent="0.4">
      <c r="A274" s="299" t="s">
        <v>442</v>
      </c>
      <c r="B274" s="308" t="s">
        <v>1134</v>
      </c>
    </row>
    <row r="275" spans="1:2" ht="30" customHeight="1" x14ac:dyDescent="0.4">
      <c r="A275" s="299" t="s">
        <v>502</v>
      </c>
      <c r="B275" s="308" t="s">
        <v>443</v>
      </c>
    </row>
    <row r="276" spans="1:2" ht="30" customHeight="1" x14ac:dyDescent="0.4">
      <c r="A276" s="299" t="s">
        <v>502</v>
      </c>
      <c r="B276" s="308" t="s">
        <v>444</v>
      </c>
    </row>
    <row r="277" spans="1:2" ht="30" customHeight="1" x14ac:dyDescent="0.4">
      <c r="A277" s="299" t="s">
        <v>502</v>
      </c>
      <c r="B277" s="308" t="s">
        <v>445</v>
      </c>
    </row>
    <row r="278" spans="1:2" ht="30" customHeight="1" x14ac:dyDescent="0.4">
      <c r="A278" s="299" t="s">
        <v>502</v>
      </c>
      <c r="B278" s="307" t="s">
        <v>446</v>
      </c>
    </row>
    <row r="279" spans="1:2" ht="30" customHeight="1" x14ac:dyDescent="0.4">
      <c r="A279" s="299"/>
      <c r="B279" s="308" t="s">
        <v>45</v>
      </c>
    </row>
    <row r="280" spans="1:2" ht="30" customHeight="1" x14ac:dyDescent="0.4">
      <c r="A280" s="299" t="s">
        <v>45</v>
      </c>
      <c r="B280" s="308" t="s">
        <v>447</v>
      </c>
    </row>
    <row r="281" spans="1:2" ht="30" customHeight="1" x14ac:dyDescent="0.4">
      <c r="A281" s="299" t="s">
        <v>502</v>
      </c>
      <c r="B281" s="308" t="s">
        <v>448</v>
      </c>
    </row>
    <row r="282" spans="1:2" ht="30" customHeight="1" x14ac:dyDescent="0.4">
      <c r="A282" s="299" t="s">
        <v>502</v>
      </c>
      <c r="B282" s="308" t="s">
        <v>46</v>
      </c>
    </row>
    <row r="283" spans="1:2" ht="30" customHeight="1" x14ac:dyDescent="0.4">
      <c r="A283" s="299" t="s">
        <v>46</v>
      </c>
      <c r="B283" s="308" t="s">
        <v>449</v>
      </c>
    </row>
    <row r="284" spans="1:2" ht="30" customHeight="1" x14ac:dyDescent="0.4">
      <c r="A284" s="299" t="s">
        <v>502</v>
      </c>
      <c r="B284" s="307" t="s">
        <v>450</v>
      </c>
    </row>
    <row r="285" spans="1:2" ht="30" customHeight="1" x14ac:dyDescent="0.4">
      <c r="A285" s="299"/>
      <c r="B285" s="308" t="s">
        <v>47</v>
      </c>
    </row>
    <row r="286" spans="1:2" ht="30" customHeight="1" x14ac:dyDescent="0.4">
      <c r="A286" s="299" t="s">
        <v>47</v>
      </c>
      <c r="B286" s="308" t="s">
        <v>451</v>
      </c>
    </row>
    <row r="287" spans="1:2" ht="30" customHeight="1" x14ac:dyDescent="0.4">
      <c r="A287" s="299" t="s">
        <v>502</v>
      </c>
      <c r="B287" s="308" t="s">
        <v>452</v>
      </c>
    </row>
    <row r="288" spans="1:2" ht="30" customHeight="1" x14ac:dyDescent="0.4">
      <c r="A288" s="299" t="s">
        <v>502</v>
      </c>
      <c r="B288" s="308" t="s">
        <v>453</v>
      </c>
    </row>
    <row r="289" spans="1:2" ht="30" customHeight="1" x14ac:dyDescent="0.4">
      <c r="A289" s="299" t="s">
        <v>502</v>
      </c>
      <c r="B289" s="308" t="s">
        <v>25</v>
      </c>
    </row>
    <row r="290" spans="1:2" ht="30" customHeight="1" x14ac:dyDescent="0.4">
      <c r="A290" s="299" t="s">
        <v>502</v>
      </c>
      <c r="B290" s="308" t="s">
        <v>454</v>
      </c>
    </row>
    <row r="291" spans="1:2" ht="30" customHeight="1" x14ac:dyDescent="0.4">
      <c r="A291" s="299" t="s">
        <v>502</v>
      </c>
      <c r="B291" s="308" t="s">
        <v>455</v>
      </c>
    </row>
    <row r="292" spans="1:2" ht="30" customHeight="1" x14ac:dyDescent="0.4">
      <c r="A292" s="299" t="s">
        <v>502</v>
      </c>
      <c r="B292" s="308" t="s">
        <v>456</v>
      </c>
    </row>
    <row r="293" spans="1:2" ht="30" customHeight="1" x14ac:dyDescent="0.4">
      <c r="A293" s="299" t="s">
        <v>502</v>
      </c>
      <c r="B293" s="308" t="s">
        <v>48</v>
      </c>
    </row>
    <row r="294" spans="1:2" ht="30" customHeight="1" x14ac:dyDescent="0.4">
      <c r="A294" s="299" t="s">
        <v>48</v>
      </c>
      <c r="B294" s="308" t="s">
        <v>457</v>
      </c>
    </row>
    <row r="295" spans="1:2" ht="30" customHeight="1" x14ac:dyDescent="0.4">
      <c r="A295" s="299" t="s">
        <v>502</v>
      </c>
      <c r="B295" s="308" t="s">
        <v>49</v>
      </c>
    </row>
    <row r="296" spans="1:2" ht="30" customHeight="1" x14ac:dyDescent="0.4">
      <c r="A296" s="299" t="s">
        <v>49</v>
      </c>
      <c r="B296" s="308" t="s">
        <v>458</v>
      </c>
    </row>
    <row r="297" spans="1:2" ht="30" customHeight="1" x14ac:dyDescent="0.4">
      <c r="A297" s="299" t="s">
        <v>502</v>
      </c>
      <c r="B297" s="308" t="s">
        <v>50</v>
      </c>
    </row>
    <row r="298" spans="1:2" ht="30" customHeight="1" x14ac:dyDescent="0.4">
      <c r="A298" s="299" t="s">
        <v>50</v>
      </c>
      <c r="B298" s="308" t="s">
        <v>459</v>
      </c>
    </row>
    <row r="299" spans="1:2" ht="30" customHeight="1" x14ac:dyDescent="0.4">
      <c r="A299" s="299" t="s">
        <v>502</v>
      </c>
      <c r="B299" s="308" t="s">
        <v>460</v>
      </c>
    </row>
    <row r="300" spans="1:2" ht="30" customHeight="1" x14ac:dyDescent="0.4">
      <c r="A300" s="299" t="s">
        <v>502</v>
      </c>
      <c r="B300" s="307" t="s">
        <v>461</v>
      </c>
    </row>
    <row r="301" spans="1:2" ht="30" customHeight="1" x14ac:dyDescent="0.4">
      <c r="A301" s="299"/>
      <c r="B301" s="308" t="s">
        <v>51</v>
      </c>
    </row>
    <row r="302" spans="1:2" ht="30" customHeight="1" x14ac:dyDescent="0.4">
      <c r="A302" s="299" t="s">
        <v>51</v>
      </c>
      <c r="B302" s="308" t="s">
        <v>462</v>
      </c>
    </row>
    <row r="303" spans="1:2" ht="30" customHeight="1" x14ac:dyDescent="0.4">
      <c r="A303" s="299" t="s">
        <v>502</v>
      </c>
      <c r="B303" s="308" t="s">
        <v>463</v>
      </c>
    </row>
    <row r="304" spans="1:2" ht="30" customHeight="1" x14ac:dyDescent="0.4">
      <c r="A304" s="299" t="s">
        <v>502</v>
      </c>
      <c r="B304" s="308" t="s">
        <v>464</v>
      </c>
    </row>
    <row r="305" spans="1:2" ht="30" customHeight="1" x14ac:dyDescent="0.4">
      <c r="A305" s="299" t="s">
        <v>502</v>
      </c>
      <c r="B305" s="308" t="s">
        <v>465</v>
      </c>
    </row>
    <row r="306" spans="1:2" ht="30" customHeight="1" x14ac:dyDescent="0.4">
      <c r="A306" s="299" t="s">
        <v>502</v>
      </c>
      <c r="B306" s="308" t="s">
        <v>52</v>
      </c>
    </row>
    <row r="307" spans="1:2" ht="30" customHeight="1" x14ac:dyDescent="0.4">
      <c r="A307" s="299" t="s">
        <v>52</v>
      </c>
      <c r="B307" s="308" t="s">
        <v>466</v>
      </c>
    </row>
    <row r="308" spans="1:2" ht="30" customHeight="1" x14ac:dyDescent="0.4">
      <c r="A308" s="299" t="s">
        <v>502</v>
      </c>
      <c r="B308" s="308" t="s">
        <v>62</v>
      </c>
    </row>
    <row r="309" spans="1:2" ht="30" customHeight="1" x14ac:dyDescent="0.4">
      <c r="A309" s="299" t="s">
        <v>502</v>
      </c>
      <c r="B309" s="308" t="s">
        <v>53</v>
      </c>
    </row>
    <row r="310" spans="1:2" ht="30" customHeight="1" x14ac:dyDescent="0.4">
      <c r="A310" s="299" t="s">
        <v>53</v>
      </c>
      <c r="B310" s="308" t="s">
        <v>467</v>
      </c>
    </row>
    <row r="311" spans="1:2" ht="30" customHeight="1" x14ac:dyDescent="0.4">
      <c r="A311" s="299" t="s">
        <v>502</v>
      </c>
      <c r="B311" s="308" t="s">
        <v>468</v>
      </c>
    </row>
    <row r="312" spans="1:2" ht="30" customHeight="1" x14ac:dyDescent="0.4">
      <c r="A312" s="299" t="s">
        <v>502</v>
      </c>
      <c r="B312" s="308" t="s">
        <v>54</v>
      </c>
    </row>
    <row r="313" spans="1:2" ht="30" customHeight="1" x14ac:dyDescent="0.4">
      <c r="A313" s="299" t="s">
        <v>54</v>
      </c>
      <c r="B313" s="308" t="s">
        <v>469</v>
      </c>
    </row>
    <row r="314" spans="1:2" ht="30" customHeight="1" x14ac:dyDescent="0.4">
      <c r="A314" s="299" t="s">
        <v>502</v>
      </c>
      <c r="B314" s="308" t="s">
        <v>25</v>
      </c>
    </row>
    <row r="315" spans="1:2" ht="30" customHeight="1" x14ac:dyDescent="0.4">
      <c r="A315" s="299" t="s">
        <v>502</v>
      </c>
      <c r="B315" s="308" t="s">
        <v>470</v>
      </c>
    </row>
    <row r="316" spans="1:2" ht="30" customHeight="1" x14ac:dyDescent="0.4">
      <c r="A316" s="299" t="s">
        <v>502</v>
      </c>
      <c r="B316" s="308" t="s">
        <v>55</v>
      </c>
    </row>
    <row r="317" spans="1:2" ht="30" customHeight="1" x14ac:dyDescent="0.4">
      <c r="A317" s="299" t="s">
        <v>55</v>
      </c>
      <c r="B317" s="308" t="s">
        <v>471</v>
      </c>
    </row>
    <row r="318" spans="1:2" ht="30" customHeight="1" x14ac:dyDescent="0.4">
      <c r="A318" s="299" t="s">
        <v>502</v>
      </c>
      <c r="B318" s="308" t="s">
        <v>361</v>
      </c>
    </row>
    <row r="319" spans="1:2" ht="30" customHeight="1" x14ac:dyDescent="0.4">
      <c r="A319" s="299" t="s">
        <v>502</v>
      </c>
      <c r="B319" s="308" t="s">
        <v>56</v>
      </c>
    </row>
    <row r="320" spans="1:2" ht="30" customHeight="1" x14ac:dyDescent="0.4">
      <c r="A320" s="299" t="s">
        <v>56</v>
      </c>
      <c r="B320" s="308" t="s">
        <v>472</v>
      </c>
    </row>
    <row r="321" spans="1:2" ht="30" customHeight="1" x14ac:dyDescent="0.4">
      <c r="A321" s="299" t="s">
        <v>502</v>
      </c>
      <c r="B321" s="308" t="s">
        <v>57</v>
      </c>
    </row>
    <row r="322" spans="1:2" ht="30" customHeight="1" x14ac:dyDescent="0.4">
      <c r="A322" s="299" t="s">
        <v>57</v>
      </c>
      <c r="B322" s="308" t="s">
        <v>473</v>
      </c>
    </row>
    <row r="323" spans="1:2" ht="30" customHeight="1" x14ac:dyDescent="0.4">
      <c r="A323" s="299" t="s">
        <v>502</v>
      </c>
      <c r="B323" s="308" t="s">
        <v>474</v>
      </c>
    </row>
    <row r="324" spans="1:2" ht="30" customHeight="1" x14ac:dyDescent="0.4">
      <c r="A324" s="299" t="s">
        <v>502</v>
      </c>
      <c r="B324" s="308" t="s">
        <v>58</v>
      </c>
    </row>
    <row r="325" spans="1:2" ht="30" customHeight="1" x14ac:dyDescent="0.4">
      <c r="A325" s="299" t="s">
        <v>58</v>
      </c>
      <c r="B325" s="308" t="s">
        <v>269</v>
      </c>
    </row>
    <row r="326" spans="1:2" ht="30" customHeight="1" x14ac:dyDescent="0.4">
      <c r="A326" s="299" t="s">
        <v>502</v>
      </c>
      <c r="B326" s="308" t="s">
        <v>59</v>
      </c>
    </row>
    <row r="327" spans="1:2" ht="30" customHeight="1" x14ac:dyDescent="0.4">
      <c r="A327" s="299" t="s">
        <v>59</v>
      </c>
      <c r="B327" s="308" t="s">
        <v>269</v>
      </c>
    </row>
    <row r="328" spans="1:2" ht="30" customHeight="1" x14ac:dyDescent="0.4">
      <c r="A328" s="299" t="s">
        <v>502</v>
      </c>
      <c r="B328" s="307" t="s">
        <v>475</v>
      </c>
    </row>
    <row r="329" spans="1:2" ht="30" customHeight="1" x14ac:dyDescent="0.4">
      <c r="A329" s="299"/>
      <c r="B329" s="298" t="s">
        <v>60</v>
      </c>
    </row>
    <row r="330" spans="1:2" ht="30" customHeight="1" x14ac:dyDescent="0.4">
      <c r="A330" s="299" t="s">
        <v>60</v>
      </c>
      <c r="B330" s="298" t="s">
        <v>476</v>
      </c>
    </row>
    <row r="331" spans="1:2" ht="30" customHeight="1" x14ac:dyDescent="0.4">
      <c r="A331" s="299" t="s">
        <v>502</v>
      </c>
      <c r="B331" s="298" t="s">
        <v>477</v>
      </c>
    </row>
    <row r="332" spans="1:2" ht="30" customHeight="1" x14ac:dyDescent="0.4">
      <c r="A332" s="299" t="s">
        <v>502</v>
      </c>
      <c r="B332" s="298" t="s">
        <v>478</v>
      </c>
    </row>
    <row r="333" spans="1:2" ht="30" customHeight="1" x14ac:dyDescent="0.4">
      <c r="A333" s="299" t="s">
        <v>502</v>
      </c>
      <c r="B333" s="298" t="s">
        <v>479</v>
      </c>
    </row>
    <row r="334" spans="1:2" ht="30" customHeight="1" x14ac:dyDescent="0.4">
      <c r="A334" s="299" t="s">
        <v>502</v>
      </c>
      <c r="B334" s="308" t="s">
        <v>480</v>
      </c>
    </row>
    <row r="335" spans="1:2" ht="30" customHeight="1" x14ac:dyDescent="0.4">
      <c r="A335" s="299" t="s">
        <v>480</v>
      </c>
      <c r="B335" s="308" t="s">
        <v>481</v>
      </c>
    </row>
    <row r="336" spans="1:2" ht="30" customHeight="1" x14ac:dyDescent="0.4">
      <c r="A336" s="299" t="s">
        <v>502</v>
      </c>
      <c r="B336" s="308" t="s">
        <v>482</v>
      </c>
    </row>
    <row r="337" spans="1:2" ht="30" customHeight="1" x14ac:dyDescent="0.4">
      <c r="A337" s="299" t="s">
        <v>502</v>
      </c>
      <c r="B337" s="308" t="s">
        <v>483</v>
      </c>
    </row>
    <row r="338" spans="1:2" ht="30" customHeight="1" x14ac:dyDescent="0.4">
      <c r="A338" s="299" t="s">
        <v>502</v>
      </c>
      <c r="B338" s="308" t="s">
        <v>1135</v>
      </c>
    </row>
    <row r="339" spans="1:2" ht="30" customHeight="1" x14ac:dyDescent="0.4">
      <c r="A339" s="299" t="s">
        <v>502</v>
      </c>
      <c r="B339" s="308" t="s">
        <v>484</v>
      </c>
    </row>
    <row r="340" spans="1:2" ht="30" customHeight="1" x14ac:dyDescent="0.4">
      <c r="A340" s="299" t="s">
        <v>502</v>
      </c>
      <c r="B340" s="308" t="s">
        <v>604</v>
      </c>
    </row>
    <row r="341" spans="1:2" ht="30" customHeight="1" x14ac:dyDescent="0.4">
      <c r="A341" s="299" t="s">
        <v>502</v>
      </c>
      <c r="B341" s="308" t="s">
        <v>485</v>
      </c>
    </row>
    <row r="342" spans="1:2" ht="30" customHeight="1" x14ac:dyDescent="0.4">
      <c r="A342" s="299" t="s">
        <v>502</v>
      </c>
      <c r="B342" s="308" t="s">
        <v>486</v>
      </c>
    </row>
    <row r="343" spans="1:2" ht="30" customHeight="1" x14ac:dyDescent="0.4">
      <c r="A343" s="299" t="s">
        <v>502</v>
      </c>
      <c r="B343" s="308" t="s">
        <v>487</v>
      </c>
    </row>
    <row r="344" spans="1:2" ht="30" customHeight="1" x14ac:dyDescent="0.4">
      <c r="A344" s="299" t="s">
        <v>487</v>
      </c>
      <c r="B344" s="308" t="s">
        <v>488</v>
      </c>
    </row>
    <row r="345" spans="1:2" ht="30" customHeight="1" x14ac:dyDescent="0.4">
      <c r="A345" s="299" t="s">
        <v>502</v>
      </c>
      <c r="B345" s="308" t="s">
        <v>489</v>
      </c>
    </row>
    <row r="346" spans="1:2" ht="30" customHeight="1" x14ac:dyDescent="0.4">
      <c r="A346" s="299" t="s">
        <v>502</v>
      </c>
      <c r="B346" s="308" t="s">
        <v>490</v>
      </c>
    </row>
    <row r="347" spans="1:2" ht="30" customHeight="1" x14ac:dyDescent="0.4">
      <c r="A347" s="299" t="s">
        <v>502</v>
      </c>
      <c r="B347" s="308" t="s">
        <v>491</v>
      </c>
    </row>
    <row r="348" spans="1:2" ht="30" customHeight="1" x14ac:dyDescent="0.4">
      <c r="A348" s="299" t="s">
        <v>491</v>
      </c>
      <c r="B348" s="308" t="s">
        <v>492</v>
      </c>
    </row>
    <row r="349" spans="1:2" ht="30" customHeight="1" x14ac:dyDescent="0.4">
      <c r="A349" s="299" t="s">
        <v>502</v>
      </c>
      <c r="B349" s="308" t="s">
        <v>493</v>
      </c>
    </row>
    <row r="350" spans="1:2" ht="30" customHeight="1" x14ac:dyDescent="0.4">
      <c r="A350" s="299" t="s">
        <v>502</v>
      </c>
      <c r="B350" s="308" t="s">
        <v>494</v>
      </c>
    </row>
    <row r="351" spans="1:2" ht="30" customHeight="1" x14ac:dyDescent="0.4">
      <c r="A351" s="299" t="s">
        <v>502</v>
      </c>
      <c r="B351" s="308" t="s">
        <v>495</v>
      </c>
    </row>
    <row r="352" spans="1:2" ht="30" customHeight="1" x14ac:dyDescent="0.4">
      <c r="A352" s="299" t="s">
        <v>502</v>
      </c>
      <c r="B352" s="308" t="s">
        <v>496</v>
      </c>
    </row>
    <row r="353" spans="1:2" ht="30" customHeight="1" x14ac:dyDescent="0.4">
      <c r="A353" s="299" t="s">
        <v>496</v>
      </c>
      <c r="B353" s="308" t="s">
        <v>497</v>
      </c>
    </row>
    <row r="354" spans="1:2" ht="30" customHeight="1" x14ac:dyDescent="0.4">
      <c r="A354" s="299" t="s">
        <v>502</v>
      </c>
      <c r="B354" s="308" t="s">
        <v>498</v>
      </c>
    </row>
    <row r="355" spans="1:2" ht="30" customHeight="1" x14ac:dyDescent="0.4">
      <c r="A355" s="299" t="s">
        <v>502</v>
      </c>
      <c r="B355" s="308" t="s">
        <v>499</v>
      </c>
    </row>
    <row r="356" spans="1:2" ht="30" customHeight="1" x14ac:dyDescent="0.4">
      <c r="A356" s="299" t="s">
        <v>502</v>
      </c>
      <c r="B356" s="308" t="s">
        <v>500</v>
      </c>
    </row>
    <row r="357" spans="1:2" ht="30" customHeight="1" x14ac:dyDescent="0.4">
      <c r="A357" s="299" t="s">
        <v>502</v>
      </c>
      <c r="B357" s="308" t="s">
        <v>61</v>
      </c>
    </row>
    <row r="358" spans="1:2" ht="30" customHeight="1" x14ac:dyDescent="0.4">
      <c r="A358" s="299" t="s">
        <v>61</v>
      </c>
      <c r="B358" s="308" t="s">
        <v>501</v>
      </c>
    </row>
  </sheetData>
  <sheetProtection algorithmName="SHA-512" hashValue="e4QOX7lfzlV2VyQZ0hYwwHIIJhZbcaKxyZX4VCtAGFxfC9Kl64PeRsB9LMNMGOOJuHYcg8mM/8lQ5/v0ClloJQ==" saltValue="3/my/tBZKDTVNHDWks5Rug==" spinCount="100000" sheet="1" objects="1" scenarios="1" formatCells="0" autoFilter="0"/>
  <mergeCells count="4">
    <mergeCell ref="A173:A181"/>
    <mergeCell ref="A162:A171"/>
    <mergeCell ref="A193:A203"/>
    <mergeCell ref="A205:A218"/>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dimension ref="B1:B12"/>
  <sheetViews>
    <sheetView workbookViewId="0">
      <selection activeCell="C5" sqref="C5"/>
    </sheetView>
  </sheetViews>
  <sheetFormatPr defaultColWidth="8.90625" defaultRowHeight="25.5" x14ac:dyDescent="0.4"/>
  <cols>
    <col min="1" max="1" width="8.90625" style="30"/>
    <col min="2" max="2" width="140" style="31" customWidth="1"/>
    <col min="3" max="16384" width="8.90625" style="30"/>
  </cols>
  <sheetData>
    <row r="1" spans="2:2" ht="36" x14ac:dyDescent="0.4">
      <c r="B1" s="31" t="s">
        <v>96</v>
      </c>
    </row>
    <row r="2" spans="2:2" x14ac:dyDescent="0.4">
      <c r="B2" s="31" t="s">
        <v>95</v>
      </c>
    </row>
    <row r="3" spans="2:2" x14ac:dyDescent="0.4">
      <c r="B3" s="31" t="s">
        <v>91</v>
      </c>
    </row>
    <row r="5" spans="2:2" x14ac:dyDescent="0.4">
      <c r="B5" s="31" t="s">
        <v>88</v>
      </c>
    </row>
    <row r="6" spans="2:2" x14ac:dyDescent="0.4">
      <c r="B6" s="29" t="s">
        <v>86</v>
      </c>
    </row>
    <row r="7" spans="2:2" x14ac:dyDescent="0.4">
      <c r="B7" s="31" t="s">
        <v>87</v>
      </c>
    </row>
    <row r="9" spans="2:2" x14ac:dyDescent="0.4">
      <c r="B9" s="31" t="s">
        <v>89</v>
      </c>
    </row>
    <row r="10" spans="2:2" x14ac:dyDescent="0.4">
      <c r="B10" s="31" t="s">
        <v>90</v>
      </c>
    </row>
    <row r="12" spans="2:2" x14ac:dyDescent="0.4">
      <c r="B12" s="31" t="s">
        <v>94</v>
      </c>
    </row>
  </sheetData>
  <sheetProtection algorithmName="SHA-512" hashValue="xj4q3Eyw6oxXcrn17r1J70uDa6T8iHX+Cp9ufr/8D5jVPrRnfiOKISiL/pUE6EV2tA3UTnhgbl9ja1wnXJ5aDQ==" saltValue="+wOI7htF4ka0xkLpmy5aVw==" spinCount="100000" sheet="1" objects="1" scenarios="1" formatCells="0" autoFilter="0"/>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002060"/>
    <pageSetUpPr autoPageBreaks="0"/>
  </sheetPr>
  <dimension ref="C1:BY37"/>
  <sheetViews>
    <sheetView showGridLines="0" topLeftCell="F1" zoomScale="75" zoomScaleNormal="75" workbookViewId="0">
      <pane ySplit="4" topLeftCell="A20" activePane="bottomLeft" state="frozen"/>
      <selection activeCell="B1" sqref="B1"/>
      <selection pane="bottomLeft" activeCell="AE23" sqref="AE23:AF23"/>
    </sheetView>
  </sheetViews>
  <sheetFormatPr defaultColWidth="8.90625" defaultRowHeight="22.25" customHeight="1" x14ac:dyDescent="0.4"/>
  <cols>
    <col min="1" max="1" width="0" style="1" hidden="1" customWidth="1"/>
    <col min="2" max="2" width="1.36328125" style="1" customWidth="1"/>
    <col min="3" max="3" width="6" style="1" customWidth="1"/>
    <col min="4" max="4" width="7.453125" style="1" customWidth="1"/>
    <col min="5" max="5" width="1.08984375" style="1" customWidth="1"/>
    <col min="6" max="6" width="8" style="1" customWidth="1"/>
    <col min="7" max="30" width="7.90625" style="1" customWidth="1"/>
    <col min="31" max="31" width="9.453125" style="1" customWidth="1"/>
    <col min="32" max="32" width="11.08984375" style="1" customWidth="1"/>
    <col min="33" max="33" width="9.6328125" style="1" customWidth="1"/>
    <col min="34" max="34" width="7.81640625" style="1" customWidth="1"/>
    <col min="35" max="35" width="7.54296875" customWidth="1"/>
    <col min="36" max="36" width="8.1796875" customWidth="1"/>
    <col min="37" max="38" width="7.90625" customWidth="1"/>
    <col min="39" max="39" width="12" customWidth="1"/>
    <col min="40" max="40" width="13.54296875" customWidth="1"/>
    <col min="41" max="44" width="7.90625" customWidth="1"/>
    <col min="45" max="49" width="7.08984375" customWidth="1"/>
    <col min="51" max="61" width="8.90625" style="1"/>
    <col min="78" max="16384" width="8.90625" style="1"/>
  </cols>
  <sheetData>
    <row r="1" spans="3:77" ht="22.25" customHeight="1" thickBot="1" x14ac:dyDescent="0.45">
      <c r="F1" s="473" t="s">
        <v>155</v>
      </c>
      <c r="G1" s="474"/>
      <c r="H1" s="474"/>
      <c r="I1" s="474"/>
      <c r="J1" s="474"/>
      <c r="K1" s="475"/>
      <c r="M1" s="476" t="s">
        <v>156</v>
      </c>
      <c r="N1" s="477"/>
      <c r="O1" s="477"/>
      <c r="W1" s="280" t="s">
        <v>239</v>
      </c>
      <c r="X1" s="478">
        <f>IF(OR(V4=0,J4=0),0,ROUND(VLOOKUP(IF($V4&gt;$J$5,$J$5,$V4),特休表,2,0)*$T4,5))+IF(OR(V4=0,J4=0),0,VLOOKUP(IF($V4&gt;$J$5,$J$5,$V4-1),特休表,2,0)-ROUND(VLOOKUP(IF($V4&gt;$J$5,$J$5,$V4-1),特休表,2,0)*$T4,5))</f>
        <v>30</v>
      </c>
      <c r="Y1" s="478"/>
      <c r="AC1" s="280" t="s">
        <v>239</v>
      </c>
      <c r="AD1" s="478">
        <f>IF(OR(V4=0,J4=0),0,ROUND(VLOOKUP(IF($V4&gt;$J$5,$J$5,$V4),特休表,2,0)*$T4,5))+IF(OR(V4=0,J4=0),0,VLOOKUP(IF($V4&gt;$J$5,$J$5,$V4-1),特休表,2,0)-ROUND(VLOOKUP(IF($V4&gt;$J$5,$J$5,$V4-1),特休表,2,0)*$T4,5))</f>
        <v>30</v>
      </c>
      <c r="AE1" s="478"/>
      <c r="AF1" s="280" t="s">
        <v>239</v>
      </c>
      <c r="AG1" s="574">
        <f>IF(F2&lt;M2-1,0,1)*ROUND(3-3*IF((MONTH($H$4)-1+(DAY($H$4)-1)/DAY(EOMONTH(($H$4-1),0)))/6&gt;=1,1,(MONTH($H$4)-1+(DAY($H$4)-1)/DAY(EOMONTH(($H$4-1),0)))/6),4)</f>
        <v>0</v>
      </c>
      <c r="AH1" s="574"/>
      <c r="AM1" s="571" t="s">
        <v>1319</v>
      </c>
      <c r="AN1" s="571"/>
    </row>
    <row r="2" spans="3:77" ht="22.25" customHeight="1" thickTop="1" thickBot="1" x14ac:dyDescent="0.45">
      <c r="C2" s="11" t="s">
        <v>157</v>
      </c>
      <c r="D2" s="11" t="s">
        <v>68</v>
      </c>
      <c r="F2" s="446">
        <v>80</v>
      </c>
      <c r="G2" s="447"/>
      <c r="H2" s="509">
        <v>3</v>
      </c>
      <c r="I2" s="509"/>
      <c r="J2" s="510">
        <v>20</v>
      </c>
      <c r="K2" s="511"/>
      <c r="M2" s="272">
        <v>109</v>
      </c>
      <c r="N2" s="273">
        <v>12</v>
      </c>
      <c r="O2" s="274">
        <v>31</v>
      </c>
      <c r="P2"/>
      <c r="Q2"/>
      <c r="R2" s="479" t="s">
        <v>158</v>
      </c>
      <c r="S2" s="479"/>
      <c r="T2" s="479"/>
      <c r="U2" s="479"/>
      <c r="V2" s="479"/>
      <c r="W2" s="479"/>
      <c r="X2" s="479"/>
      <c r="Y2" s="479"/>
      <c r="Z2" s="505" t="s">
        <v>159</v>
      </c>
      <c r="AA2" s="506"/>
      <c r="AB2" s="480" t="s">
        <v>242</v>
      </c>
      <c r="AC2" s="481"/>
      <c r="AD2" s="481"/>
      <c r="AE2" s="482"/>
      <c r="AF2" s="572" t="s">
        <v>1323</v>
      </c>
      <c r="AG2" s="572"/>
      <c r="AH2" s="573"/>
      <c r="AI2" s="573"/>
      <c r="AJ2" s="572"/>
      <c r="AK2" s="1"/>
      <c r="AL2" s="1"/>
      <c r="AM2" s="571"/>
      <c r="AN2" s="571"/>
      <c r="BJ2" s="1"/>
      <c r="BK2" s="1"/>
      <c r="BL2" s="1"/>
      <c r="BM2" s="1"/>
      <c r="BN2" s="1"/>
      <c r="BO2" s="1"/>
      <c r="BP2" s="1"/>
      <c r="BQ2" s="1"/>
      <c r="BR2" s="1"/>
      <c r="BS2" s="1"/>
      <c r="BT2" s="1"/>
      <c r="BU2" s="1"/>
      <c r="BV2" s="1"/>
      <c r="BW2" s="1"/>
      <c r="BX2" s="1"/>
      <c r="BY2" s="1"/>
    </row>
    <row r="3" spans="3:77" ht="43.25" customHeight="1" thickTop="1" thickBot="1" x14ac:dyDescent="0.45">
      <c r="C3" s="12" t="s">
        <v>0</v>
      </c>
      <c r="D3" s="13" t="s">
        <v>200</v>
      </c>
      <c r="F3" s="448" t="s">
        <v>201</v>
      </c>
      <c r="G3" s="449"/>
      <c r="H3" s="450" t="s">
        <v>202</v>
      </c>
      <c r="I3" s="450"/>
      <c r="J3" s="465" t="s">
        <v>203</v>
      </c>
      <c r="K3" s="466"/>
      <c r="M3" s="534" t="s">
        <v>204</v>
      </c>
      <c r="N3" s="535"/>
      <c r="O3" s="535"/>
      <c r="P3"/>
      <c r="Q3"/>
      <c r="R3" s="460" t="s">
        <v>205</v>
      </c>
      <c r="S3" s="460"/>
      <c r="T3" s="460" t="s">
        <v>206</v>
      </c>
      <c r="U3" s="460"/>
      <c r="V3" s="460" t="s">
        <v>207</v>
      </c>
      <c r="W3" s="460"/>
      <c r="X3" s="460" t="s">
        <v>208</v>
      </c>
      <c r="Y3" s="460"/>
      <c r="Z3" s="461" t="s">
        <v>209</v>
      </c>
      <c r="AA3" s="462"/>
      <c r="AB3" s="463" t="s">
        <v>210</v>
      </c>
      <c r="AC3" s="464"/>
      <c r="AD3" s="507" t="s">
        <v>211</v>
      </c>
      <c r="AE3" s="508"/>
      <c r="AF3" s="356" t="str">
        <f>$M$2&amp;"年度"</f>
        <v>109年度</v>
      </c>
      <c r="AG3" s="357" t="str">
        <f>$M$2&amp;"年 1/1前 "</f>
        <v xml:space="preserve">109年 1/1前 </v>
      </c>
      <c r="AH3" s="359" t="str">
        <f>$M$2&amp;"年 1/1後"</f>
        <v>109年 1/1後</v>
      </c>
      <c r="AI3" s="360" t="str">
        <f>$M$2+1&amp;" 年前"</f>
        <v>110 年前</v>
      </c>
      <c r="AJ3" s="358" t="str">
        <f>$M$2+1&amp;"   年後"</f>
        <v>110   年後</v>
      </c>
      <c r="AK3" s="1"/>
      <c r="AL3" s="1"/>
      <c r="AM3" s="364">
        <f>DATE($M$2+1911-1,1,1)</f>
        <v>43466</v>
      </c>
      <c r="AN3" s="365">
        <f>DATE($M$2+1911,1,1)</f>
        <v>43831</v>
      </c>
      <c r="BJ3" s="1"/>
      <c r="BK3" s="1"/>
      <c r="BL3" s="1"/>
      <c r="BM3" s="1"/>
      <c r="BN3" s="1"/>
      <c r="BO3" s="1"/>
      <c r="BP3" s="1"/>
      <c r="BQ3" s="1"/>
      <c r="BR3" s="1"/>
      <c r="BS3" s="1"/>
      <c r="BT3" s="1"/>
      <c r="BU3" s="1"/>
      <c r="BV3" s="1"/>
      <c r="BW3" s="1"/>
      <c r="BX3" s="1"/>
      <c r="BY3" s="1"/>
    </row>
    <row r="4" spans="3:77" ht="23.25" customHeight="1" thickTop="1" thickBot="1" x14ac:dyDescent="0.45">
      <c r="C4" s="2">
        <v>0</v>
      </c>
      <c r="D4" s="4">
        <v>0</v>
      </c>
      <c r="F4" s="516"/>
      <c r="G4" s="517"/>
      <c r="H4" s="518">
        <f>DATE(F2+1911,H2,J2)+F4</f>
        <v>33317</v>
      </c>
      <c r="I4" s="519"/>
      <c r="J4" s="520">
        <f>IF(OR($H4=0,$H4&gt;$M$4),0,DATEDIF($H4+$G4,$M$4+1,"Y"))</f>
        <v>28</v>
      </c>
      <c r="K4" s="521"/>
      <c r="M4" s="522">
        <v>43830</v>
      </c>
      <c r="N4" s="522"/>
      <c r="O4" s="522"/>
      <c r="P4" s="275"/>
      <c r="Q4" s="276"/>
      <c r="R4" s="523">
        <f>X4+AF4</f>
        <v>30</v>
      </c>
      <c r="S4" s="523"/>
      <c r="T4" s="524">
        <f>1-(MONTH(H4)-1+(DAY(H4)-1)/DAY(EOMONTH((H4-1),0)))/12</f>
        <v>0.782258064516129</v>
      </c>
      <c r="U4" s="524"/>
      <c r="V4" s="525">
        <f>IF($H4=0,0,DATEDIF($H4+$G4,DATE(M2+1911,MONTH(H4),DAY(H4)),"Y"))</f>
        <v>29</v>
      </c>
      <c r="W4" s="525"/>
      <c r="X4" s="523">
        <f>IF(OR(V4=0,J4=0),0,ROUND(VLOOKUP(IF($V4&gt;$J$5,$J$5,$V4),特休表,2,0)*$T4,2))+IF(OR(V4=0,J4=0),0,VLOOKUP(IF($V4&gt;$J$5,$J$5,$V4-1),特休表,2,0)-ROUND(VLOOKUP(IF($V4&gt;$J$5,$J$5,$V4-1),特休表,2,0)*$T4,2))</f>
        <v>30</v>
      </c>
      <c r="Y4" s="523"/>
      <c r="Z4" s="526">
        <f>IF(H4=0,0,AB4+AD4+AF4)</f>
        <v>30</v>
      </c>
      <c r="AA4" s="527"/>
      <c r="AB4" s="501">
        <f>IF(V4=0,0,VLOOKUP(IF($V4&gt;$J$5,$J$5,$V4-1),特休表,2,0)-ROUNDUP(VLOOKUP(IF(($V4-1)&gt;$J$5,$J$5,($V4-1)),特休表,2,0)*$T4,0))</f>
        <v>6</v>
      </c>
      <c r="AC4" s="502"/>
      <c r="AD4" s="503">
        <f>ROUNDUP(VLOOKUP(($V$4),特休表,2)*T4,0)</f>
        <v>24</v>
      </c>
      <c r="AE4" s="504"/>
      <c r="AF4" s="366">
        <f>IF(AND(H4&gt;=$AM$4,H4&lt;=$AN$3),3,AH4+AI4)</f>
        <v>0</v>
      </c>
      <c r="AG4" s="367">
        <f>IF(AH4=0,0,3-$AH$4)</f>
        <v>0</v>
      </c>
      <c r="AH4" s="368">
        <f>IF(AND($H$4&gt;$AM$3,$H$4&lt;$AM$4),ROUND(3*(MONTH($H$4)-1+(DAY($H$4)-1)/DAY(EOMONTH(($H$4-1),0)))/6,2),0)</f>
        <v>0</v>
      </c>
      <c r="AI4" s="369">
        <f>IF(AND($H4&gt;$AN$3,$H4&lt;$AN$4),3-ROUND(3*(MONTH($H4)-1+(DAY($H4)-1)/DAY(EOMONTH(($H4-1),0)))/6,2),0)</f>
        <v>0</v>
      </c>
      <c r="AJ4" s="370">
        <f>IF($AI4=0,0,3-$AI4)</f>
        <v>0</v>
      </c>
      <c r="AK4" s="1"/>
      <c r="AL4" s="1"/>
      <c r="AM4" s="364">
        <f>DATE($M$2+1911-1,7,1)</f>
        <v>43647</v>
      </c>
      <c r="AN4" s="365">
        <f>DATE($M$2+1911,7,1)</f>
        <v>44013</v>
      </c>
      <c r="BJ4" s="1"/>
      <c r="BK4" s="1"/>
      <c r="BL4" s="1"/>
      <c r="BM4" s="1"/>
      <c r="BN4" s="1"/>
      <c r="BO4" s="1"/>
      <c r="BP4" s="1"/>
      <c r="BQ4" s="1"/>
      <c r="BR4" s="1"/>
      <c r="BS4" s="1"/>
      <c r="BT4" s="1"/>
      <c r="BU4" s="1"/>
      <c r="BV4" s="1"/>
      <c r="BW4" s="1"/>
      <c r="BX4" s="1"/>
      <c r="BY4" s="1"/>
    </row>
    <row r="5" spans="3:77" ht="19.25" customHeight="1" x14ac:dyDescent="0.4">
      <c r="C5" s="2">
        <v>0.5</v>
      </c>
      <c r="D5" s="4">
        <v>3</v>
      </c>
      <c r="F5"/>
      <c r="G5"/>
      <c r="H5" s="499" t="s">
        <v>172</v>
      </c>
      <c r="I5" s="499"/>
      <c r="J5" s="500">
        <v>24</v>
      </c>
      <c r="K5" s="500"/>
      <c r="L5" s="277"/>
      <c r="N5"/>
      <c r="O5"/>
      <c r="Q5" s="278"/>
      <c r="R5" s="57"/>
      <c r="S5" s="291">
        <f>T4</f>
        <v>0.782258064516129</v>
      </c>
      <c r="T5" s="498" t="str">
        <f>"=(1- ("&amp;MONTH(H4)-1&amp;"+"&amp;(DAY(H4)-1)&amp;"/"&amp;DAY(EOMONTH((H4-1),0))&amp;")"&amp;"/12)"</f>
        <v>=(1- (2+19/31)/12)</v>
      </c>
      <c r="U5" s="498"/>
      <c r="V5" s="498"/>
      <c r="W5" s="498"/>
      <c r="X5" s="498"/>
      <c r="Y5" s="498"/>
      <c r="Z5" s="214" t="s">
        <v>238</v>
      </c>
      <c r="AA5" s="206"/>
      <c r="AB5" s="279"/>
      <c r="AC5" s="279"/>
      <c r="AD5" s="206"/>
      <c r="AE5" s="206"/>
      <c r="AF5"/>
      <c r="AG5"/>
      <c r="BJ5" s="1"/>
      <c r="BK5" s="1"/>
      <c r="BL5" s="1"/>
      <c r="BM5" s="1"/>
      <c r="BN5" s="1"/>
      <c r="BO5" s="1"/>
      <c r="BP5" s="1"/>
      <c r="BQ5" s="1"/>
      <c r="BR5" s="1"/>
      <c r="BS5" s="1"/>
      <c r="BT5" s="1"/>
      <c r="BU5" s="1"/>
      <c r="BV5" s="1"/>
      <c r="BW5" s="1"/>
      <c r="BX5" s="1"/>
      <c r="BY5" s="1"/>
    </row>
    <row r="6" spans="3:77" ht="22.25" customHeight="1" x14ac:dyDescent="0.4">
      <c r="C6" s="3">
        <v>1</v>
      </c>
      <c r="D6" s="4">
        <v>7</v>
      </c>
      <c r="F6"/>
      <c r="G6"/>
      <c r="H6"/>
      <c r="I6"/>
      <c r="J6" s="275"/>
      <c r="K6" s="275"/>
      <c r="L6" s="275"/>
      <c r="M6"/>
      <c r="N6"/>
      <c r="O6"/>
      <c r="T6" s="58" t="s">
        <v>253</v>
      </c>
      <c r="U6" s="58"/>
      <c r="Z6" s="207" t="s">
        <v>212</v>
      </c>
      <c r="AA6" s="206"/>
      <c r="AB6" s="206"/>
      <c r="AC6" s="206"/>
      <c r="AD6" s="206"/>
      <c r="AE6" s="206"/>
      <c r="AF6" s="280" t="s">
        <v>213</v>
      </c>
      <c r="AG6" s="1" t="str">
        <f>"("&amp;MONTH(H4)-1&amp;"+"&amp;(DAY(H4)-1)&amp;"/"&amp;DAY(EOMONTH((H4-1),0))&amp;")"&amp;"/6"</f>
        <v>(2+19/31)/6</v>
      </c>
      <c r="AH6"/>
      <c r="BJ6" s="1"/>
      <c r="BK6" s="1"/>
      <c r="BL6" s="1"/>
      <c r="BM6" s="1"/>
      <c r="BN6" s="1"/>
      <c r="BO6" s="1"/>
      <c r="BP6" s="1"/>
      <c r="BQ6" s="1"/>
      <c r="BR6" s="1"/>
      <c r="BS6" s="1"/>
      <c r="BT6" s="1"/>
      <c r="BU6" s="1"/>
      <c r="BV6" s="1"/>
      <c r="BW6" s="1"/>
      <c r="BX6" s="1"/>
      <c r="BY6" s="1"/>
    </row>
    <row r="7" spans="3:77" ht="22.25" customHeight="1" x14ac:dyDescent="0.4">
      <c r="C7" s="3">
        <v>2</v>
      </c>
      <c r="D7" s="4">
        <v>10</v>
      </c>
      <c r="F7"/>
      <c r="G7"/>
      <c r="H7"/>
      <c r="I7" s="325">
        <f>1-(MONTH(H4)-1+(DAY(H4)-1)/DAY(EOMONTH((H4-1),0)))/12</f>
        <v>0.782258064516129</v>
      </c>
      <c r="J7" s="297" t="str">
        <f>"=(1- ("&amp;MONTH(H4)-1&amp;"+"&amp;(DAY(H4)-1)&amp;"/"&amp;DAY(EOMONTH((H4-1),0))&amp;")"&amp;"/12)"</f>
        <v>=(1- (2+19/31)/12)</v>
      </c>
      <c r="K7" s="297"/>
      <c r="L7" s="294"/>
      <c r="M7" s="295"/>
      <c r="N7" s="294">
        <f>(MONTH(H4)-1+(DAY(H4)-1)/DAY(EOMONTH((H4-1),0)))/12</f>
        <v>0.21774193548387097</v>
      </c>
      <c r="O7" s="294" t="str">
        <f>"= ("&amp;MONTH(H4)-1&amp;"+"&amp;(DAY(H4)-1)&amp;"/"&amp;DAY(EOMONTH((H4-1),0))&amp;")"&amp;"/12)"</f>
        <v>= (2+19/31)/12)</v>
      </c>
      <c r="P7" s="294"/>
      <c r="Q7" s="296"/>
      <c r="R7"/>
      <c r="S7" s="292">
        <f>(MONTH(H4)-1+(DAY(H4)-1)/DAY(EOMONTH((H4-1),0)))/12</f>
        <v>0.21774193548387097</v>
      </c>
      <c r="T7" s="1" t="str">
        <f>"= ("&amp;MONTH(H4)-1&amp;"+"&amp;(DAY(H4)-1)&amp;"/"&amp;DAY(EOMONTH((H4-1),0))&amp;")"&amp;"/12)"</f>
        <v>= (2+19/31)/12)</v>
      </c>
      <c r="V7" s="483" t="s">
        <v>254</v>
      </c>
      <c r="W7" s="483"/>
      <c r="X7" s="483"/>
      <c r="Y7" s="483"/>
      <c r="Z7" s="293"/>
      <c r="AA7" s="293"/>
      <c r="AB7" s="512"/>
      <c r="AC7" s="512"/>
      <c r="AD7" s="227"/>
      <c r="AE7" s="227"/>
      <c r="AF7" s="281" t="s">
        <v>214</v>
      </c>
      <c r="AG7" s="282">
        <f>(MONTH($H$4)-1+(DAY($H$4)-1)/DAY(EOMONTH(($H$4-1),0)))/6</f>
        <v>0.43548387096774194</v>
      </c>
      <c r="AH7"/>
      <c r="BJ7" s="1"/>
      <c r="BK7" s="1"/>
      <c r="BL7" s="1"/>
      <c r="BM7" s="1"/>
      <c r="BN7" s="1"/>
      <c r="BO7" s="1"/>
      <c r="BP7" s="1"/>
      <c r="BQ7" s="1"/>
      <c r="BR7" s="1"/>
      <c r="BS7" s="1"/>
      <c r="BT7" s="1"/>
      <c r="BU7" s="1"/>
      <c r="BV7" s="1"/>
      <c r="BW7" s="1"/>
      <c r="BX7" s="1"/>
      <c r="BY7" s="1"/>
    </row>
    <row r="8" spans="3:77" ht="22.25" customHeight="1" x14ac:dyDescent="0.4">
      <c r="C8" s="3">
        <v>3</v>
      </c>
      <c r="D8" s="4">
        <v>14</v>
      </c>
      <c r="F8"/>
      <c r="G8"/>
      <c r="I8"/>
      <c r="J8"/>
      <c r="K8"/>
      <c r="L8"/>
      <c r="M8"/>
      <c r="N8"/>
      <c r="O8"/>
      <c r="P8"/>
      <c r="Q8" s="275"/>
      <c r="R8" s="275"/>
      <c r="T8" s="6"/>
      <c r="Z8" s="9"/>
      <c r="AA8" s="9"/>
      <c r="AF8" s="281"/>
      <c r="AG8" s="283"/>
      <c r="AH8"/>
      <c r="BJ8" s="1"/>
      <c r="BK8" s="1"/>
      <c r="BL8" s="1"/>
      <c r="BM8" s="1"/>
      <c r="BN8" s="1"/>
      <c r="BO8" s="1"/>
      <c r="BP8" s="1"/>
      <c r="BQ8" s="1"/>
      <c r="BR8" s="1"/>
      <c r="BS8" s="1"/>
      <c r="BT8" s="1"/>
      <c r="BU8" s="1"/>
      <c r="BV8" s="1"/>
      <c r="BW8" s="1"/>
      <c r="BX8" s="1"/>
      <c r="BY8" s="1"/>
    </row>
    <row r="9" spans="3:77" ht="22.25" customHeight="1" thickBot="1" x14ac:dyDescent="0.45">
      <c r="C9" s="3">
        <v>4</v>
      </c>
      <c r="D9" s="4">
        <v>14</v>
      </c>
      <c r="G9" s="469">
        <f>DATE(YEAR(N10)-1,H2,J2)</f>
        <v>43544</v>
      </c>
      <c r="H9" s="469"/>
      <c r="I9"/>
      <c r="J9"/>
      <c r="K9"/>
      <c r="L9" s="467">
        <f>DATE($M$2+1911-1,12,31)</f>
        <v>43830</v>
      </c>
      <c r="M9" s="467"/>
      <c r="N9" s="458">
        <f>N10</f>
        <v>43831</v>
      </c>
      <c r="O9" s="458"/>
      <c r="Q9" s="513">
        <f>DATE(YEAR($G$12)+1,MONTH($H$4),DAY($H$4))-1</f>
        <v>43909</v>
      </c>
      <c r="R9" s="513"/>
      <c r="S9" s="514">
        <f>DATE(YEAR(N10),H2,J2)</f>
        <v>43910</v>
      </c>
      <c r="T9" s="514"/>
      <c r="X9" s="467" t="s">
        <v>215</v>
      </c>
      <c r="Y9" s="467"/>
      <c r="Z9" s="468" t="s">
        <v>216</v>
      </c>
      <c r="AA9" s="468"/>
      <c r="AD9" s="515">
        <f>DATE(YEAR(N10)+1,H2,J2)</f>
        <v>44275</v>
      </c>
      <c r="AE9" s="515"/>
      <c r="BJ9" s="1"/>
      <c r="BK9" s="1"/>
      <c r="BL9" s="1"/>
      <c r="BM9" s="1"/>
      <c r="BN9" s="1"/>
      <c r="BO9" s="1"/>
      <c r="BP9" s="1"/>
      <c r="BQ9" s="1"/>
      <c r="BR9" s="1"/>
      <c r="BS9" s="1"/>
      <c r="BT9" s="1"/>
      <c r="BU9" s="1"/>
      <c r="BV9" s="1"/>
      <c r="BW9" s="1"/>
      <c r="BX9" s="1"/>
      <c r="BY9" s="1"/>
    </row>
    <row r="10" spans="3:77" ht="22.25" customHeight="1" thickTop="1" thickBot="1" x14ac:dyDescent="0.45">
      <c r="C10" s="3">
        <v>5</v>
      </c>
      <c r="D10" s="4">
        <v>15</v>
      </c>
      <c r="F10" s="8"/>
      <c r="G10" s="85" t="s">
        <v>65</v>
      </c>
      <c r="H10" s="86"/>
      <c r="I10" s="324" t="s">
        <v>1146</v>
      </c>
      <c r="J10" s="86"/>
      <c r="K10" s="86"/>
      <c r="L10" s="470" t="s">
        <v>72</v>
      </c>
      <c r="M10" s="470"/>
      <c r="N10" s="484">
        <f>J12+1</f>
        <v>43831</v>
      </c>
      <c r="O10" s="485"/>
      <c r="P10" s="323" t="s">
        <v>1145</v>
      </c>
      <c r="Q10" s="87"/>
      <c r="R10" s="88"/>
      <c r="S10" s="87" t="s">
        <v>65</v>
      </c>
      <c r="T10" s="87"/>
      <c r="U10" s="323" t="s">
        <v>131</v>
      </c>
      <c r="V10" s="87"/>
      <c r="W10" s="536">
        <f>V12</f>
        <v>44196</v>
      </c>
      <c r="X10" s="536"/>
      <c r="Y10" s="537"/>
      <c r="Z10" s="538">
        <f>W10+1</f>
        <v>44197</v>
      </c>
      <c r="AA10" s="538"/>
      <c r="AB10" s="324" t="s">
        <v>1144</v>
      </c>
      <c r="AC10" s="86"/>
      <c r="AD10" s="89"/>
      <c r="AE10" s="1" t="s">
        <v>217</v>
      </c>
      <c r="BJ10" s="1"/>
      <c r="BK10" s="1"/>
      <c r="BL10" s="1"/>
      <c r="BM10" s="1"/>
      <c r="BN10" s="1"/>
      <c r="BO10" s="1"/>
      <c r="BP10" s="1"/>
      <c r="BQ10" s="1"/>
      <c r="BR10" s="1"/>
      <c r="BS10" s="1"/>
      <c r="BT10" s="1"/>
      <c r="BU10" s="1"/>
      <c r="BV10" s="1"/>
      <c r="BW10" s="1"/>
      <c r="BX10" s="1"/>
      <c r="BY10" s="1"/>
    </row>
    <row r="11" spans="3:77" ht="22.25" customHeight="1" thickBot="1" x14ac:dyDescent="0.45">
      <c r="C11" s="3">
        <v>6</v>
      </c>
      <c r="D11" s="5">
        <v>15</v>
      </c>
      <c r="F11" s="9"/>
      <c r="G11" s="103">
        <f>IF(V4=0,0,V4-1)</f>
        <v>28</v>
      </c>
      <c r="H11" s="104" t="s">
        <v>218</v>
      </c>
      <c r="I11" s="105"/>
      <c r="J11" s="105"/>
      <c r="K11" s="105"/>
      <c r="L11" s="105"/>
      <c r="M11" s="105">
        <f>IF(V4=0,0,VLOOKUP(($V$4-1),特休表,2))</f>
        <v>30</v>
      </c>
      <c r="N11" s="105" t="s">
        <v>64</v>
      </c>
      <c r="O11" s="105"/>
      <c r="P11" s="105"/>
      <c r="Q11" s="105"/>
      <c r="R11" s="106"/>
      <c r="S11" s="107">
        <f>V4</f>
        <v>29</v>
      </c>
      <c r="T11" s="108" t="s">
        <v>218</v>
      </c>
      <c r="U11" s="108"/>
      <c r="V11" s="108"/>
      <c r="W11" s="108"/>
      <c r="X11" s="108"/>
      <c r="Y11" s="108">
        <f>VLOOKUP(($V$4),特休表,2)</f>
        <v>30</v>
      </c>
      <c r="Z11" s="108" t="s">
        <v>64</v>
      </c>
      <c r="AA11" s="108"/>
      <c r="AB11" s="108"/>
      <c r="AC11" s="108"/>
      <c r="AD11" s="109"/>
      <c r="BJ11" s="1"/>
      <c r="BK11" s="1"/>
      <c r="BL11" s="1"/>
      <c r="BM11" s="1"/>
      <c r="BN11" s="1"/>
      <c r="BO11" s="1"/>
      <c r="BP11" s="1"/>
      <c r="BQ11" s="1"/>
      <c r="BR11" s="1"/>
      <c r="BS11" s="1"/>
      <c r="BT11" s="1"/>
      <c r="BU11" s="1"/>
      <c r="BV11" s="1"/>
      <c r="BW11" s="1"/>
      <c r="BX11" s="1"/>
      <c r="BY11" s="1"/>
    </row>
    <row r="12" spans="3:77" ht="22.25" customHeight="1" x14ac:dyDescent="0.4">
      <c r="C12" s="3">
        <v>7</v>
      </c>
      <c r="D12" s="5">
        <v>15</v>
      </c>
      <c r="F12" s="8"/>
      <c r="G12" s="486">
        <f>DATE($M$2+1911-1,MONTH($H$4),DAY($H$4))</f>
        <v>43544</v>
      </c>
      <c r="H12" s="487"/>
      <c r="I12" s="113"/>
      <c r="J12" s="488">
        <f>DATE($M$2+1911-1,12,31)</f>
        <v>43830</v>
      </c>
      <c r="K12" s="488"/>
      <c r="L12" s="488"/>
      <c r="M12" s="488"/>
      <c r="N12" s="489">
        <f>N10</f>
        <v>43831</v>
      </c>
      <c r="O12" s="490"/>
      <c r="P12" s="491">
        <f>DATE(YEAR($G$12)+1,MONTH($H$4),DAY($H$4))-1</f>
        <v>43909</v>
      </c>
      <c r="Q12" s="491"/>
      <c r="R12" s="492"/>
      <c r="S12" s="493">
        <f>P12+1</f>
        <v>43910</v>
      </c>
      <c r="T12" s="494"/>
      <c r="U12" s="114"/>
      <c r="V12" s="455">
        <f>DATE(YEAR($J$12)+1,12,31)</f>
        <v>44196</v>
      </c>
      <c r="W12" s="455"/>
      <c r="X12" s="455"/>
      <c r="Y12" s="495"/>
      <c r="Z12" s="496">
        <f>V12+1</f>
        <v>44197</v>
      </c>
      <c r="AA12" s="497"/>
      <c r="AB12" s="455">
        <f>DATE(YEAR($G$12)+2,MONTH($H$4),DAY($H$4))-1</f>
        <v>44274</v>
      </c>
      <c r="AC12" s="455"/>
      <c r="AD12" s="456"/>
      <c r="BJ12" s="1"/>
      <c r="BK12" s="1"/>
      <c r="BL12" s="1"/>
      <c r="BM12" s="1"/>
      <c r="BN12" s="1"/>
      <c r="BO12" s="1"/>
      <c r="BP12" s="1"/>
      <c r="BQ12" s="1"/>
      <c r="BR12" s="1"/>
      <c r="BS12" s="1"/>
      <c r="BT12" s="1"/>
      <c r="BU12" s="1"/>
      <c r="BV12" s="1"/>
      <c r="BW12" s="1"/>
      <c r="BX12" s="1"/>
      <c r="BY12" s="1"/>
    </row>
    <row r="13" spans="3:77" ht="22.25" customHeight="1" x14ac:dyDescent="0.4">
      <c r="C13" s="3">
        <v>8</v>
      </c>
      <c r="D13" s="5">
        <v>15</v>
      </c>
      <c r="F13" s="8"/>
      <c r="G13" s="92"/>
      <c r="H13" s="93"/>
      <c r="I13" s="94" t="s">
        <v>219</v>
      </c>
      <c r="J13" s="457">
        <f>$T$4</f>
        <v>0.782258064516129</v>
      </c>
      <c r="K13" s="457"/>
      <c r="L13" s="95"/>
      <c r="M13" s="93"/>
      <c r="N13" s="117"/>
      <c r="O13" s="118" t="s">
        <v>219</v>
      </c>
      <c r="P13" s="459">
        <f>(1-$J$13)</f>
        <v>0.217741935483871</v>
      </c>
      <c r="Q13" s="459"/>
      <c r="R13" s="119"/>
      <c r="S13" s="93"/>
      <c r="T13" s="93"/>
      <c r="U13" s="94" t="s">
        <v>219</v>
      </c>
      <c r="V13" s="457">
        <f>$T$4</f>
        <v>0.782258064516129</v>
      </c>
      <c r="W13" s="457"/>
      <c r="X13" s="96"/>
      <c r="Y13" s="97"/>
      <c r="Z13" s="120"/>
      <c r="AA13" s="118" t="s">
        <v>219</v>
      </c>
      <c r="AB13" s="579">
        <f>(1-$J$13)</f>
        <v>0.217741935483871</v>
      </c>
      <c r="AC13" s="579"/>
      <c r="AD13" s="119"/>
      <c r="BJ13" s="1"/>
      <c r="BK13" s="1"/>
      <c r="BL13" s="1"/>
      <c r="BM13" s="1"/>
      <c r="BN13" s="1"/>
      <c r="BO13" s="1"/>
      <c r="BP13" s="1"/>
      <c r="BQ13" s="1"/>
      <c r="BR13" s="1"/>
      <c r="BS13" s="1"/>
      <c r="BT13" s="1"/>
      <c r="BU13" s="1"/>
      <c r="BV13" s="1"/>
      <c r="BW13" s="1"/>
      <c r="BX13" s="1"/>
      <c r="BY13" s="1"/>
    </row>
    <row r="14" spans="3:77" ht="22.25" customHeight="1" thickBot="1" x14ac:dyDescent="0.45">
      <c r="C14" s="3">
        <v>9</v>
      </c>
      <c r="D14" s="5">
        <v>15</v>
      </c>
      <c r="F14" s="8"/>
      <c r="G14" s="110"/>
      <c r="H14" s="94" t="s">
        <v>220</v>
      </c>
      <c r="I14" s="111">
        <f>M11</f>
        <v>30</v>
      </c>
      <c r="J14" s="102" t="s">
        <v>221</v>
      </c>
      <c r="K14" s="362">
        <f>J13</f>
        <v>0.782258064516129</v>
      </c>
      <c r="L14" s="215" t="s">
        <v>222</v>
      </c>
      <c r="M14" s="363">
        <f>I14*K14</f>
        <v>23.467741935483872</v>
      </c>
      <c r="N14" s="121"/>
      <c r="O14" s="122" t="s">
        <v>220</v>
      </c>
      <c r="P14" s="123">
        <f>M11</f>
        <v>30</v>
      </c>
      <c r="Q14" s="123" t="s">
        <v>223</v>
      </c>
      <c r="R14" s="124">
        <f>K15</f>
        <v>24</v>
      </c>
      <c r="S14" s="93"/>
      <c r="T14" s="94" t="s">
        <v>220</v>
      </c>
      <c r="U14" s="102">
        <f>Y11</f>
        <v>30</v>
      </c>
      <c r="V14" s="102" t="s">
        <v>221</v>
      </c>
      <c r="W14" s="361">
        <f>V13</f>
        <v>0.782258064516129</v>
      </c>
      <c r="X14" s="102" t="s">
        <v>222</v>
      </c>
      <c r="Y14" s="371">
        <f>U14*W14</f>
        <v>23.467741935483872</v>
      </c>
      <c r="Z14" s="112"/>
      <c r="AA14" s="122" t="s">
        <v>220</v>
      </c>
      <c r="AB14" s="125">
        <f>Y11</f>
        <v>30</v>
      </c>
      <c r="AC14" s="125" t="s">
        <v>223</v>
      </c>
      <c r="AD14" s="124">
        <f>W15</f>
        <v>24</v>
      </c>
      <c r="BJ14" s="1"/>
      <c r="BK14" s="1"/>
      <c r="BL14" s="1"/>
      <c r="BM14" s="1"/>
      <c r="BN14" s="1"/>
      <c r="BO14" s="1"/>
      <c r="BP14" s="1"/>
      <c r="BQ14" s="1"/>
      <c r="BR14" s="1"/>
      <c r="BS14" s="1"/>
      <c r="BT14" s="1"/>
      <c r="BU14" s="1"/>
      <c r="BV14" s="1"/>
      <c r="BW14" s="1"/>
      <c r="BX14" s="1"/>
      <c r="BY14" s="1"/>
    </row>
    <row r="15" spans="3:77" ht="22.25" customHeight="1" thickBot="1" x14ac:dyDescent="0.45">
      <c r="C15" s="3">
        <v>10</v>
      </c>
      <c r="D15" s="4">
        <v>16</v>
      </c>
      <c r="F15" s="8"/>
      <c r="G15" s="580" t="s">
        <v>224</v>
      </c>
      <c r="H15" s="581"/>
      <c r="I15" s="581"/>
      <c r="J15" s="126" t="s">
        <v>222</v>
      </c>
      <c r="K15" s="213">
        <f>ROUNDUP(I14*K14,0)</f>
        <v>24</v>
      </c>
      <c r="L15" s="212"/>
      <c r="M15" s="115"/>
      <c r="N15" s="127"/>
      <c r="O15" s="128" t="s">
        <v>222</v>
      </c>
      <c r="P15" s="211">
        <f>M11-K15</f>
        <v>6</v>
      </c>
      <c r="Q15" s="210"/>
      <c r="R15" s="129"/>
      <c r="S15" s="582" t="s">
        <v>237</v>
      </c>
      <c r="T15" s="583"/>
      <c r="U15" s="583"/>
      <c r="V15" s="128" t="s">
        <v>222</v>
      </c>
      <c r="W15" s="210">
        <f>ROUNDUP(U14*W14,0)</f>
        <v>24</v>
      </c>
      <c r="X15" s="210"/>
      <c r="Y15" s="284"/>
      <c r="Z15" s="115"/>
      <c r="AA15" s="126" t="s">
        <v>222</v>
      </c>
      <c r="AB15" s="213">
        <f>AB14-AD14</f>
        <v>6</v>
      </c>
      <c r="AC15" s="212"/>
      <c r="AD15" s="130"/>
      <c r="BJ15" s="1"/>
      <c r="BK15" s="1"/>
      <c r="BL15" s="1"/>
      <c r="BM15" s="1"/>
      <c r="BN15" s="1"/>
      <c r="BO15" s="1"/>
      <c r="BP15" s="1"/>
      <c r="BQ15" s="1"/>
      <c r="BR15" s="1"/>
      <c r="BS15" s="1"/>
      <c r="BT15" s="1"/>
      <c r="BU15" s="1"/>
      <c r="BV15" s="1"/>
      <c r="BW15" s="1"/>
      <c r="BX15" s="1"/>
      <c r="BY15" s="1"/>
    </row>
    <row r="16" spans="3:77" ht="22.25" customHeight="1" thickTop="1" thickBot="1" x14ac:dyDescent="0.45">
      <c r="C16" s="3">
        <v>11</v>
      </c>
      <c r="D16" s="5">
        <v>17</v>
      </c>
      <c r="F16" s="9"/>
      <c r="G16" s="116"/>
      <c r="H16" s="131"/>
      <c r="I16" s="131"/>
      <c r="J16" s="131" t="s">
        <v>237</v>
      </c>
      <c r="K16"/>
      <c r="L16" s="131"/>
      <c r="M16" s="131"/>
      <c r="N16" s="132"/>
      <c r="O16" s="133"/>
      <c r="P16" s="133"/>
      <c r="Q16" s="134" t="s">
        <v>222</v>
      </c>
      <c r="R16" s="228">
        <f>P15</f>
        <v>6</v>
      </c>
      <c r="S16" s="133" t="s">
        <v>225</v>
      </c>
      <c r="T16" s="133">
        <f>W15</f>
        <v>24</v>
      </c>
      <c r="U16" s="134" t="s">
        <v>222</v>
      </c>
      <c r="V16" s="528">
        <f>P15+W15</f>
        <v>30</v>
      </c>
      <c r="W16" s="528"/>
      <c r="X16" s="133" t="s">
        <v>226</v>
      </c>
      <c r="Y16" s="135"/>
      <c r="Z16" s="131"/>
      <c r="AA16" s="131"/>
      <c r="AB16" s="131"/>
      <c r="AC16" s="131"/>
      <c r="AD16" s="131"/>
      <c r="BJ16" s="1"/>
      <c r="BK16" s="1"/>
      <c r="BL16" s="1"/>
      <c r="BM16" s="1"/>
      <c r="BN16" s="1"/>
      <c r="BO16" s="1"/>
      <c r="BP16" s="1"/>
      <c r="BQ16" s="1"/>
      <c r="BR16" s="1"/>
      <c r="BS16" s="1"/>
      <c r="BT16" s="1"/>
      <c r="BU16" s="1"/>
      <c r="BV16" s="1"/>
      <c r="BW16" s="1"/>
      <c r="BX16" s="1"/>
      <c r="BY16" s="1"/>
    </row>
    <row r="17" spans="3:77" ht="22.25" customHeight="1" thickTop="1" x14ac:dyDescent="0.4">
      <c r="C17" s="3">
        <v>12</v>
      </c>
      <c r="D17" s="5">
        <v>18</v>
      </c>
      <c r="J17" s="136" t="s">
        <v>227</v>
      </c>
      <c r="K17" s="136"/>
      <c r="L17" s="136"/>
      <c r="M17" s="136"/>
      <c r="N17" s="529">
        <f>N10</f>
        <v>43831</v>
      </c>
      <c r="O17" s="529"/>
      <c r="P17" s="136"/>
      <c r="Q17" s="136" t="s">
        <v>228</v>
      </c>
      <c r="R17" s="136"/>
      <c r="S17" s="131"/>
      <c r="T17" s="131"/>
      <c r="U17" s="131"/>
      <c r="V17" s="131"/>
      <c r="W17" s="530">
        <f>W10</f>
        <v>44196</v>
      </c>
      <c r="X17" s="530"/>
      <c r="Y17" s="530"/>
      <c r="BJ17" s="1"/>
      <c r="BK17" s="1"/>
      <c r="BL17" s="1"/>
      <c r="BM17" s="1"/>
      <c r="BN17" s="1"/>
      <c r="BO17" s="1"/>
      <c r="BP17" s="1"/>
      <c r="BQ17" s="1"/>
      <c r="BR17" s="1"/>
      <c r="BS17" s="1"/>
      <c r="BT17" s="1"/>
      <c r="BU17" s="1"/>
      <c r="BV17" s="1"/>
      <c r="BW17" s="1"/>
      <c r="BX17" s="1"/>
      <c r="BY17" s="1"/>
    </row>
    <row r="18" spans="3:77" ht="22.25" customHeight="1" x14ac:dyDescent="0.4">
      <c r="C18" s="3">
        <v>13</v>
      </c>
      <c r="D18" s="5">
        <v>19</v>
      </c>
      <c r="G18" s="99" t="s">
        <v>229</v>
      </c>
      <c r="BJ18" s="1"/>
      <c r="BK18" s="1"/>
      <c r="BL18" s="1"/>
      <c r="BM18" s="1"/>
      <c r="BN18" s="1"/>
      <c r="BO18" s="1"/>
      <c r="BP18" s="1"/>
      <c r="BQ18" s="1"/>
      <c r="BR18" s="1"/>
      <c r="BS18" s="1"/>
      <c r="BT18" s="1"/>
      <c r="BU18" s="1"/>
      <c r="BV18" s="1"/>
      <c r="BW18" s="1"/>
      <c r="BX18" s="1"/>
      <c r="BY18" s="1"/>
    </row>
    <row r="19" spans="3:77" ht="22.25" customHeight="1" x14ac:dyDescent="0.4">
      <c r="C19" s="3">
        <v>14</v>
      </c>
      <c r="D19" s="5">
        <v>20</v>
      </c>
      <c r="BJ19" s="1"/>
      <c r="BK19" s="1"/>
      <c r="BL19" s="1"/>
      <c r="BM19" s="1"/>
      <c r="BN19" s="1"/>
      <c r="BO19" s="1"/>
      <c r="BP19" s="1"/>
      <c r="BQ19" s="1"/>
      <c r="BR19" s="1"/>
      <c r="BS19" s="1"/>
      <c r="BT19" s="1"/>
      <c r="BU19" s="1"/>
      <c r="BV19" s="1"/>
      <c r="BW19" s="1"/>
      <c r="BX19" s="1"/>
      <c r="BY19" s="1"/>
    </row>
    <row r="20" spans="3:77" ht="22.25" customHeight="1" x14ac:dyDescent="0.4">
      <c r="C20" s="3">
        <v>15</v>
      </c>
      <c r="D20" s="5">
        <v>21</v>
      </c>
      <c r="F20" s="53"/>
      <c r="G20" s="53"/>
      <c r="H20" s="178"/>
      <c r="I20" s="178"/>
      <c r="J20" s="438">
        <f>I$27</f>
        <v>107</v>
      </c>
      <c r="K20" s="438"/>
      <c r="L20" s="53"/>
      <c r="M20" s="178"/>
      <c r="N20" s="531">
        <f>M27</f>
        <v>108</v>
      </c>
      <c r="O20" s="531"/>
      <c r="P20" s="179"/>
      <c r="Q20" s="179"/>
      <c r="R20" s="532">
        <f>Q27</f>
        <v>109</v>
      </c>
      <c r="S20" s="532"/>
      <c r="T20" s="53"/>
      <c r="U20" s="53"/>
      <c r="V20" s="533">
        <f>U27</f>
        <v>110</v>
      </c>
      <c r="W20" s="533"/>
      <c r="X20" s="53"/>
      <c r="Y20" s="53"/>
      <c r="Z20" s="438">
        <f>Y27</f>
        <v>111</v>
      </c>
      <c r="AA20" s="438"/>
      <c r="AB20" s="53"/>
      <c r="AC20" s="53"/>
      <c r="AD20" s="438">
        <f>AC27</f>
        <v>112</v>
      </c>
      <c r="AE20" s="438"/>
      <c r="BJ20" s="1"/>
      <c r="BK20" s="1"/>
      <c r="BL20" s="1"/>
      <c r="BM20" s="1"/>
      <c r="BN20" s="1"/>
      <c r="BO20" s="1"/>
      <c r="BP20" s="1"/>
      <c r="BQ20" s="1"/>
      <c r="BR20" s="1"/>
      <c r="BS20" s="1"/>
      <c r="BT20" s="1"/>
      <c r="BU20" s="1"/>
      <c r="BV20" s="1"/>
      <c r="BW20" s="1"/>
      <c r="BX20" s="1"/>
      <c r="BY20" s="1"/>
    </row>
    <row r="21" spans="3:77" ht="22.25" customHeight="1" x14ac:dyDescent="0.4">
      <c r="C21" s="3">
        <v>16</v>
      </c>
      <c r="D21" s="5">
        <v>22</v>
      </c>
      <c r="F21" s="443" t="s">
        <v>202</v>
      </c>
      <c r="G21" s="443"/>
      <c r="H21" s="444">
        <f>$H$4</f>
        <v>33317</v>
      </c>
      <c r="I21" s="445"/>
      <c r="J21" s="180">
        <f>K21-1</f>
        <v>43178</v>
      </c>
      <c r="K21" s="189">
        <f>DATE(I27+1911,$H$2,$J$2)</f>
        <v>43179</v>
      </c>
      <c r="L21" s="190"/>
      <c r="M21" s="190"/>
      <c r="N21" s="191">
        <f>O21-1</f>
        <v>43543</v>
      </c>
      <c r="O21" s="186">
        <f>DATE(M27+1911,$H$2,$J$2)</f>
        <v>43544</v>
      </c>
      <c r="P21" s="187"/>
      <c r="Q21" s="187"/>
      <c r="R21" s="188">
        <f>S21-1</f>
        <v>43909</v>
      </c>
      <c r="S21" s="189">
        <f>DATE(Q27+1911,$H$2,$J$2)</f>
        <v>43910</v>
      </c>
      <c r="T21" s="190"/>
      <c r="U21" s="190"/>
      <c r="V21" s="191">
        <f>W21-1</f>
        <v>44274</v>
      </c>
      <c r="W21" s="186">
        <f>DATE(U27+1911,$H$2,$J$2)</f>
        <v>44275</v>
      </c>
      <c r="X21" s="187"/>
      <c r="Y21" s="187"/>
      <c r="Z21" s="188">
        <f>AA21-1</f>
        <v>44639</v>
      </c>
      <c r="AA21" s="189">
        <f>DATE(Y27+1911,$H$2,$J$2)</f>
        <v>44640</v>
      </c>
      <c r="AB21" s="190"/>
      <c r="AC21" s="190"/>
      <c r="AD21" s="191">
        <f>AE21-1</f>
        <v>45004</v>
      </c>
      <c r="AE21" s="185">
        <f>DATE(AC27+1911,$H$2,$J$2)</f>
        <v>45005</v>
      </c>
      <c r="AF21" s="32"/>
      <c r="BJ21" s="1"/>
      <c r="BK21" s="1"/>
      <c r="BL21" s="1"/>
      <c r="BM21" s="1"/>
      <c r="BN21" s="1"/>
      <c r="BO21" s="1"/>
      <c r="BP21" s="1"/>
      <c r="BQ21" s="1"/>
      <c r="BR21" s="1"/>
      <c r="BS21" s="1"/>
      <c r="BT21" s="1"/>
      <c r="BU21" s="1"/>
      <c r="BV21" s="1"/>
      <c r="BW21" s="1"/>
      <c r="BX21" s="1"/>
      <c r="BY21" s="1"/>
    </row>
    <row r="22" spans="3:77" ht="22.25" customHeight="1" x14ac:dyDescent="0.4">
      <c r="C22" s="3">
        <v>17</v>
      </c>
      <c r="D22" s="5">
        <v>23</v>
      </c>
      <c r="F22" s="422" t="s">
        <v>230</v>
      </c>
      <c r="G22" s="422"/>
      <c r="H22" s="422"/>
      <c r="I22" s="425">
        <f>IF((K22-1)&lt;0,0,K22-1)</f>
        <v>26</v>
      </c>
      <c r="J22" s="426"/>
      <c r="K22" s="427">
        <f>I27-(YEAR($H$4)-1911)</f>
        <v>27</v>
      </c>
      <c r="L22" s="427"/>
      <c r="M22" s="427"/>
      <c r="N22" s="427"/>
      <c r="O22" s="428">
        <f>M27-(YEAR($H$4)-1911)</f>
        <v>28</v>
      </c>
      <c r="P22" s="428"/>
      <c r="Q22" s="428"/>
      <c r="R22" s="428"/>
      <c r="S22" s="427">
        <f>Q27-(YEAR($H$4)-1911)</f>
        <v>29</v>
      </c>
      <c r="T22" s="427"/>
      <c r="U22" s="427"/>
      <c r="V22" s="427"/>
      <c r="W22" s="428">
        <f>U27-(YEAR($H$4)-1911)</f>
        <v>30</v>
      </c>
      <c r="X22" s="428"/>
      <c r="Y22" s="428"/>
      <c r="Z22" s="428"/>
      <c r="AA22" s="427">
        <f>Y27-(YEAR($H$4)-1911)</f>
        <v>31</v>
      </c>
      <c r="AB22" s="427"/>
      <c r="AC22" s="427"/>
      <c r="AD22" s="427"/>
      <c r="AE22" s="429">
        <f>AA22+1</f>
        <v>32</v>
      </c>
      <c r="AF22" s="430"/>
      <c r="BJ22" s="1"/>
      <c r="BK22" s="1"/>
      <c r="BL22" s="1"/>
      <c r="BM22" s="1"/>
      <c r="BN22" s="1"/>
      <c r="BO22" s="1"/>
      <c r="BP22" s="1"/>
      <c r="BQ22" s="1"/>
      <c r="BR22" s="1"/>
      <c r="BS22" s="1"/>
      <c r="BT22" s="1"/>
      <c r="BU22" s="1"/>
      <c r="BV22" s="1"/>
      <c r="BW22" s="1"/>
      <c r="BX22" s="1"/>
      <c r="BY22" s="1"/>
    </row>
    <row r="23" spans="3:77" ht="22.25" customHeight="1" thickBot="1" x14ac:dyDescent="0.45">
      <c r="C23" s="3">
        <v>18</v>
      </c>
      <c r="D23" s="5">
        <v>24</v>
      </c>
      <c r="F23" s="422" t="s">
        <v>231</v>
      </c>
      <c r="G23" s="422"/>
      <c r="H23" s="431"/>
      <c r="I23" s="432">
        <f>IF(ISNA(VLOOKUP((K$22-1),特休表,2,0)),0,VLOOKUP((K$22-1),特休表,2,0))</f>
        <v>30</v>
      </c>
      <c r="J23" s="433"/>
      <c r="K23" s="434">
        <f>IF(ISNA(VLOOKUP(K$22,特休表,2,0)),0,VLOOKUP(K$22,特休表,2,0))</f>
        <v>30</v>
      </c>
      <c r="L23" s="434"/>
      <c r="M23" s="434"/>
      <c r="N23" s="434"/>
      <c r="O23" s="435">
        <f>IF(ISNA(VLOOKUP(O$22,特休表,2,0)),0,VLOOKUP(O$22,特休表,2,0))</f>
        <v>30</v>
      </c>
      <c r="P23" s="435"/>
      <c r="Q23" s="435"/>
      <c r="R23" s="435"/>
      <c r="S23" s="434">
        <f>VLOOKUP(S$22,特休表,2,0)</f>
        <v>30</v>
      </c>
      <c r="T23" s="434"/>
      <c r="U23" s="434"/>
      <c r="V23" s="434"/>
      <c r="W23" s="435">
        <f>VLOOKUP(W$22,特休表,2,0)</f>
        <v>30</v>
      </c>
      <c r="X23" s="435"/>
      <c r="Y23" s="435"/>
      <c r="Z23" s="435"/>
      <c r="AA23" s="434">
        <f>VLOOKUP(AA$22,特休表,2,0)</f>
        <v>30</v>
      </c>
      <c r="AB23" s="434"/>
      <c r="AC23" s="434"/>
      <c r="AD23" s="434"/>
      <c r="AE23" s="436">
        <f>VLOOKUP((AA22+1),特休表,2,0)</f>
        <v>30</v>
      </c>
      <c r="AF23" s="437"/>
      <c r="BJ23" s="1"/>
      <c r="BK23" s="1"/>
      <c r="BL23" s="1"/>
      <c r="BM23" s="1"/>
      <c r="BN23" s="1"/>
      <c r="BO23" s="1"/>
      <c r="BP23" s="1"/>
      <c r="BQ23" s="1"/>
      <c r="BR23" s="1"/>
      <c r="BS23" s="1"/>
      <c r="BT23" s="1"/>
      <c r="BU23" s="1"/>
      <c r="BV23" s="1"/>
      <c r="BW23" s="1"/>
      <c r="BX23" s="1"/>
      <c r="BY23" s="1"/>
    </row>
    <row r="24" spans="3:77" ht="22.25" customHeight="1" x14ac:dyDescent="0.4">
      <c r="C24" s="3">
        <v>19</v>
      </c>
      <c r="D24" s="5">
        <v>25</v>
      </c>
      <c r="F24" s="53"/>
      <c r="G24" s="438" t="s">
        <v>232</v>
      </c>
      <c r="H24" s="439"/>
      <c r="I24" s="201">
        <f>DATE(I27+1911,1,1)</f>
        <v>43101</v>
      </c>
      <c r="J24" s="202">
        <f>J21</f>
        <v>43178</v>
      </c>
      <c r="K24" s="203">
        <f>K21</f>
        <v>43179</v>
      </c>
      <c r="L24" s="204">
        <f>DATE(I27+1911,12,31)</f>
        <v>43465</v>
      </c>
      <c r="M24" s="196">
        <f>DATE(M27+1911,1,1)</f>
        <v>43466</v>
      </c>
      <c r="N24" s="197">
        <f>N21</f>
        <v>43543</v>
      </c>
      <c r="O24" s="198">
        <f>O21</f>
        <v>43544</v>
      </c>
      <c r="P24" s="199">
        <f>DATE(M27+1911,12,31)</f>
        <v>43830</v>
      </c>
      <c r="Q24" s="201">
        <f>DATE(Q27+1911,1,1)</f>
        <v>43831</v>
      </c>
      <c r="R24" s="202">
        <f>R21</f>
        <v>43909</v>
      </c>
      <c r="S24" s="203">
        <f>S21</f>
        <v>43910</v>
      </c>
      <c r="T24" s="204">
        <f>DATE(Q27+1911,12,31)</f>
        <v>44196</v>
      </c>
      <c r="U24" s="216">
        <f>DATE(U27+1911,1,1)</f>
        <v>44197</v>
      </c>
      <c r="V24" s="197">
        <f>V21</f>
        <v>44274</v>
      </c>
      <c r="W24" s="198">
        <f>W21</f>
        <v>44275</v>
      </c>
      <c r="X24" s="217">
        <f>DATE(U27+1911,12,31)</f>
        <v>44561</v>
      </c>
      <c r="Y24" s="201">
        <f>DATE(Y27+1911,1,1)</f>
        <v>44562</v>
      </c>
      <c r="Z24" s="202">
        <f>Z21</f>
        <v>44639</v>
      </c>
      <c r="AA24" s="203">
        <f>AA21</f>
        <v>44640</v>
      </c>
      <c r="AB24" s="204">
        <f>DATE(Y27+1911,12,31)</f>
        <v>44926</v>
      </c>
      <c r="AC24" s="196">
        <f>DATE(AC27+1911,1,1)</f>
        <v>44927</v>
      </c>
      <c r="AD24" s="197">
        <f>AD21</f>
        <v>45004</v>
      </c>
      <c r="AE24" s="198">
        <f>AE21</f>
        <v>45005</v>
      </c>
      <c r="AF24" s="199">
        <f>DATE(AC27+1911,12,31)</f>
        <v>45291</v>
      </c>
      <c r="BJ24" s="1"/>
      <c r="BK24" s="1"/>
      <c r="BL24" s="1"/>
      <c r="BM24" s="1"/>
      <c r="BN24" s="1"/>
      <c r="BO24" s="1"/>
      <c r="BP24" s="1"/>
      <c r="BQ24" s="1"/>
      <c r="BR24" s="1"/>
      <c r="BS24" s="1"/>
      <c r="BT24" s="1"/>
      <c r="BU24" s="1"/>
      <c r="BV24" s="1"/>
      <c r="BW24" s="1"/>
      <c r="BX24" s="1"/>
      <c r="BY24" s="1"/>
    </row>
    <row r="25" spans="3:77" ht="22.25" customHeight="1" x14ac:dyDescent="0.4">
      <c r="C25" s="3">
        <v>20</v>
      </c>
      <c r="D25" s="5">
        <v>26</v>
      </c>
      <c r="F25" s="32"/>
      <c r="G25" s="32"/>
      <c r="H25" s="74" t="s">
        <v>219</v>
      </c>
      <c r="I25" s="418">
        <f>1-$T$4</f>
        <v>0.217741935483871</v>
      </c>
      <c r="J25" s="419"/>
      <c r="K25" s="471">
        <f>$T$4</f>
        <v>0.782258064516129</v>
      </c>
      <c r="L25" s="472"/>
      <c r="M25" s="406">
        <f>1-$T$4</f>
        <v>0.217741935483871</v>
      </c>
      <c r="N25" s="407"/>
      <c r="O25" s="408">
        <f>$T$4</f>
        <v>0.782258064516129</v>
      </c>
      <c r="P25" s="409"/>
      <c r="Q25" s="410">
        <f>1-$T$4</f>
        <v>0.217741935483871</v>
      </c>
      <c r="R25" s="411"/>
      <c r="S25" s="412">
        <f>$T$4</f>
        <v>0.782258064516129</v>
      </c>
      <c r="T25" s="413"/>
      <c r="U25" s="414">
        <f>1-$T$4</f>
        <v>0.217741935483871</v>
      </c>
      <c r="V25" s="415"/>
      <c r="W25" s="416">
        <f>$T$4</f>
        <v>0.782258064516129</v>
      </c>
      <c r="X25" s="417"/>
      <c r="Y25" s="418">
        <f>1-$T$4</f>
        <v>0.217741935483871</v>
      </c>
      <c r="Z25" s="419"/>
      <c r="AA25" s="420">
        <f>$T$4</f>
        <v>0.782258064516129</v>
      </c>
      <c r="AB25" s="421"/>
      <c r="AC25" s="421">
        <f>1-$T$4</f>
        <v>0.217741935483871</v>
      </c>
      <c r="AD25" s="415"/>
      <c r="AE25" s="416">
        <f>$T$4</f>
        <v>0.782258064516129</v>
      </c>
      <c r="AF25" s="418"/>
      <c r="BJ25" s="1"/>
      <c r="BK25" s="1"/>
      <c r="BL25" s="1"/>
      <c r="BM25" s="1"/>
      <c r="BN25" s="1"/>
      <c r="BO25" s="1"/>
      <c r="BP25" s="1"/>
      <c r="BQ25" s="1"/>
      <c r="BR25" s="1"/>
      <c r="BS25" s="1"/>
      <c r="BT25" s="1"/>
      <c r="BU25" s="1"/>
      <c r="BV25" s="1"/>
      <c r="BW25" s="1"/>
      <c r="BX25" s="1"/>
      <c r="BY25" s="1"/>
    </row>
    <row r="26" spans="3:77" ht="22.25" customHeight="1" x14ac:dyDescent="0.4">
      <c r="C26" s="3">
        <v>21</v>
      </c>
      <c r="D26" s="5">
        <v>27</v>
      </c>
      <c r="F26" s="422" t="s">
        <v>233</v>
      </c>
      <c r="G26" s="422"/>
      <c r="H26" s="422"/>
      <c r="I26" s="423">
        <f>IF(ISNA(I23-ROUNDUP(I23*(1-I25),0)),0,I23-ROUNDUP(I23*(1-I25),0))</f>
        <v>6</v>
      </c>
      <c r="J26" s="424"/>
      <c r="K26" s="389">
        <f>IF(ISNA(ROUNDUP(K23*K25,0)),0,ROUNDUP(K23*K25,0))</f>
        <v>24</v>
      </c>
      <c r="L26" s="390"/>
      <c r="M26" s="391">
        <f>K23-K26</f>
        <v>6</v>
      </c>
      <c r="N26" s="392"/>
      <c r="O26" s="393">
        <f>ROUNDUP(O23*O25,0)</f>
        <v>24</v>
      </c>
      <c r="P26" s="394"/>
      <c r="Q26" s="395">
        <f>O23-O26</f>
        <v>6</v>
      </c>
      <c r="R26" s="396"/>
      <c r="S26" s="397">
        <f>ROUNDUP(S23*S25,0)</f>
        <v>24</v>
      </c>
      <c r="T26" s="398"/>
      <c r="U26" s="399">
        <f>S23-S26</f>
        <v>6</v>
      </c>
      <c r="V26" s="400"/>
      <c r="W26" s="393">
        <f>ROUNDUP(W23*W25,0)</f>
        <v>24</v>
      </c>
      <c r="X26" s="394"/>
      <c r="Y26" s="401">
        <f>W23-W26</f>
        <v>6</v>
      </c>
      <c r="Z26" s="402"/>
      <c r="AA26" s="440">
        <f>ROUNDUP(AA23*AA25,0)</f>
        <v>24</v>
      </c>
      <c r="AB26" s="441"/>
      <c r="AC26" s="399">
        <f>AA23-AA26</f>
        <v>6</v>
      </c>
      <c r="AD26" s="400"/>
      <c r="AE26" s="442">
        <f>ROUNDUP(AE23*AE25,0)</f>
        <v>24</v>
      </c>
      <c r="AF26" s="423"/>
      <c r="BJ26" s="1"/>
      <c r="BK26" s="1"/>
      <c r="BL26" s="1"/>
      <c r="BM26" s="1"/>
      <c r="BN26" s="1"/>
      <c r="BO26" s="1"/>
      <c r="BP26" s="1"/>
      <c r="BQ26" s="1"/>
      <c r="BR26" s="1"/>
      <c r="BS26" s="1"/>
      <c r="BT26" s="1"/>
      <c r="BU26" s="1"/>
      <c r="BV26" s="1"/>
      <c r="BW26" s="1"/>
      <c r="BX26" s="1"/>
      <c r="BY26" s="1"/>
    </row>
    <row r="27" spans="3:77" ht="22.25" customHeight="1" x14ac:dyDescent="0.4">
      <c r="C27" s="3">
        <v>22</v>
      </c>
      <c r="D27" s="5">
        <v>28</v>
      </c>
      <c r="F27" s="53"/>
      <c r="G27" s="422" t="s">
        <v>234</v>
      </c>
      <c r="H27" s="539"/>
      <c r="I27" s="451">
        <f>M2-2</f>
        <v>107</v>
      </c>
      <c r="J27" s="452"/>
      <c r="K27" s="453"/>
      <c r="L27" s="454"/>
      <c r="M27" s="403">
        <f>I27+1</f>
        <v>108</v>
      </c>
      <c r="N27" s="404"/>
      <c r="O27" s="404"/>
      <c r="P27" s="405"/>
      <c r="Q27" s="551">
        <f>M27+1</f>
        <v>109</v>
      </c>
      <c r="R27" s="552"/>
      <c r="S27" s="552"/>
      <c r="T27" s="553"/>
      <c r="U27" s="554">
        <f>Q27+1</f>
        <v>110</v>
      </c>
      <c r="V27" s="404"/>
      <c r="W27" s="404"/>
      <c r="X27" s="555"/>
      <c r="Y27" s="556">
        <f>U27+1</f>
        <v>111</v>
      </c>
      <c r="Z27" s="557"/>
      <c r="AA27" s="558"/>
      <c r="AB27" s="559"/>
      <c r="AC27" s="403">
        <f>Y27+1</f>
        <v>112</v>
      </c>
      <c r="AD27" s="404"/>
      <c r="AE27" s="404"/>
      <c r="AF27" s="405"/>
      <c r="BJ27" s="1"/>
      <c r="BK27" s="1"/>
      <c r="BL27" s="1"/>
      <c r="BM27" s="1"/>
      <c r="BN27" s="1"/>
      <c r="BO27" s="1"/>
      <c r="BP27" s="1"/>
      <c r="BQ27" s="1"/>
      <c r="BR27" s="1"/>
      <c r="BS27" s="1"/>
      <c r="BT27" s="1"/>
      <c r="BU27" s="1"/>
      <c r="BV27" s="1"/>
      <c r="BW27" s="1"/>
      <c r="BX27" s="1"/>
      <c r="BY27" s="1"/>
    </row>
    <row r="28" spans="3:77" ht="22.25" customHeight="1" x14ac:dyDescent="0.4">
      <c r="C28" s="3">
        <v>23</v>
      </c>
      <c r="D28" s="5">
        <v>29</v>
      </c>
      <c r="F28" s="422" t="s">
        <v>235</v>
      </c>
      <c r="G28" s="422"/>
      <c r="H28" s="431"/>
      <c r="I28" s="560">
        <f>I26+K26</f>
        <v>30</v>
      </c>
      <c r="J28" s="561"/>
      <c r="K28" s="561"/>
      <c r="L28" s="562"/>
      <c r="M28" s="563">
        <f>M26+O26</f>
        <v>30</v>
      </c>
      <c r="N28" s="564"/>
      <c r="O28" s="564"/>
      <c r="P28" s="565"/>
      <c r="Q28" s="566">
        <f>Q26+S26</f>
        <v>30</v>
      </c>
      <c r="R28" s="567"/>
      <c r="S28" s="567"/>
      <c r="T28" s="568"/>
      <c r="U28" s="569">
        <f>U26+W26</f>
        <v>30</v>
      </c>
      <c r="V28" s="564"/>
      <c r="W28" s="564"/>
      <c r="X28" s="570"/>
      <c r="Y28" s="560">
        <f>Y26+AA26</f>
        <v>30</v>
      </c>
      <c r="Z28" s="561"/>
      <c r="AA28" s="561"/>
      <c r="AB28" s="562"/>
      <c r="AC28" s="563">
        <f>AC26+AE26</f>
        <v>30</v>
      </c>
      <c r="AD28" s="564"/>
      <c r="AE28" s="564"/>
      <c r="AF28" s="565"/>
      <c r="BJ28" s="1"/>
      <c r="BK28" s="1"/>
      <c r="BL28" s="1"/>
      <c r="BM28" s="1"/>
      <c r="BN28" s="1"/>
      <c r="BO28" s="1"/>
      <c r="BP28" s="1"/>
      <c r="BQ28" s="1"/>
      <c r="BR28" s="1"/>
      <c r="BS28" s="1"/>
      <c r="BT28" s="1"/>
      <c r="BU28" s="1"/>
      <c r="BV28" s="1"/>
      <c r="BW28" s="1"/>
      <c r="BX28" s="1"/>
      <c r="BY28" s="1"/>
    </row>
    <row r="29" spans="3:77" ht="22.25" customHeight="1" thickBot="1" x14ac:dyDescent="0.45">
      <c r="C29" s="3">
        <v>24</v>
      </c>
      <c r="D29" s="5">
        <v>30</v>
      </c>
      <c r="F29" s="422" t="s">
        <v>234</v>
      </c>
      <c r="G29" s="422"/>
      <c r="H29" s="431"/>
      <c r="I29" s="540">
        <f>I27-$F$2</f>
        <v>27</v>
      </c>
      <c r="J29" s="541"/>
      <c r="K29" s="541"/>
      <c r="L29" s="542"/>
      <c r="M29" s="543">
        <f>M27-$F$2</f>
        <v>28</v>
      </c>
      <c r="N29" s="544"/>
      <c r="O29" s="544"/>
      <c r="P29" s="545"/>
      <c r="Q29" s="546">
        <f>Q27-$F$2</f>
        <v>29</v>
      </c>
      <c r="R29" s="547"/>
      <c r="S29" s="547"/>
      <c r="T29" s="548"/>
      <c r="U29" s="549">
        <f>U27-$F$2</f>
        <v>30</v>
      </c>
      <c r="V29" s="544"/>
      <c r="W29" s="544"/>
      <c r="X29" s="550"/>
      <c r="Y29" s="540">
        <f>Y27-$F$2</f>
        <v>31</v>
      </c>
      <c r="Z29" s="541"/>
      <c r="AA29" s="541"/>
      <c r="AB29" s="542"/>
      <c r="AC29" s="543">
        <f>AC27-$F$2</f>
        <v>32</v>
      </c>
      <c r="AD29" s="544"/>
      <c r="AE29" s="544"/>
      <c r="AF29" s="545"/>
      <c r="BJ29" s="1"/>
      <c r="BK29" s="1"/>
      <c r="BL29" s="1"/>
      <c r="BM29" s="1"/>
      <c r="BN29" s="1"/>
      <c r="BO29" s="1"/>
      <c r="BP29" s="1"/>
      <c r="BQ29" s="1"/>
      <c r="BR29" s="1"/>
      <c r="BS29" s="1"/>
      <c r="BT29" s="1"/>
      <c r="BU29" s="1"/>
      <c r="BV29" s="1"/>
      <c r="BW29" s="1"/>
      <c r="BX29" s="1"/>
      <c r="BY29" s="1"/>
    </row>
    <row r="30" spans="3:77" ht="22.25" customHeight="1" x14ac:dyDescent="0.4">
      <c r="C30" s="3">
        <v>25</v>
      </c>
      <c r="D30" s="4">
        <v>30</v>
      </c>
      <c r="I30" s="576" t="s">
        <v>236</v>
      </c>
      <c r="J30" s="576"/>
      <c r="K30" s="578" t="s">
        <v>131</v>
      </c>
      <c r="L30" s="578"/>
      <c r="M30" s="576" t="s">
        <v>236</v>
      </c>
      <c r="N30" s="576"/>
      <c r="O30" s="578" t="s">
        <v>131</v>
      </c>
      <c r="P30" s="578"/>
      <c r="Q30" s="577" t="s">
        <v>236</v>
      </c>
      <c r="R30" s="577"/>
      <c r="S30" s="577" t="s">
        <v>131</v>
      </c>
      <c r="T30" s="577"/>
      <c r="U30" s="576" t="s">
        <v>236</v>
      </c>
      <c r="V30" s="576"/>
      <c r="W30" s="578" t="s">
        <v>131</v>
      </c>
      <c r="X30" s="578"/>
      <c r="Y30" s="576" t="s">
        <v>236</v>
      </c>
      <c r="Z30" s="576"/>
      <c r="AA30" s="578" t="s">
        <v>131</v>
      </c>
      <c r="AB30" s="578"/>
      <c r="AC30" s="576" t="s">
        <v>236</v>
      </c>
      <c r="AD30" s="576"/>
      <c r="AE30" s="578" t="s">
        <v>131</v>
      </c>
      <c r="AF30" s="578"/>
      <c r="BJ30" s="1"/>
      <c r="BK30" s="1"/>
      <c r="BL30" s="1"/>
      <c r="BM30" s="1"/>
      <c r="BN30" s="1"/>
      <c r="BO30" s="1"/>
      <c r="BP30" s="1"/>
      <c r="BQ30" s="1"/>
      <c r="BR30" s="1"/>
      <c r="BS30" s="1"/>
      <c r="BT30" s="1"/>
      <c r="BU30" s="1"/>
      <c r="BV30" s="1"/>
      <c r="BW30" s="1"/>
      <c r="BX30" s="1"/>
      <c r="BY30" s="1"/>
    </row>
    <row r="31" spans="3:77" ht="22.25" customHeight="1" x14ac:dyDescent="0.4">
      <c r="K31" s="575" t="s">
        <v>237</v>
      </c>
      <c r="L31" s="575"/>
      <c r="M31"/>
      <c r="O31" s="575" t="str">
        <f>$K$31</f>
        <v>強制進位至整數</v>
      </c>
      <c r="P31" s="575"/>
      <c r="Q31"/>
      <c r="S31" s="575" t="str">
        <f>$K$31</f>
        <v>強制進位至整數</v>
      </c>
      <c r="T31" s="575"/>
      <c r="U31"/>
      <c r="W31" s="575" t="str">
        <f>$K$31</f>
        <v>強制進位至整數</v>
      </c>
      <c r="X31" s="575"/>
      <c r="Y31"/>
      <c r="AA31" s="575" t="str">
        <f>$K$31</f>
        <v>強制進位至整數</v>
      </c>
      <c r="AB31" s="575"/>
      <c r="AE31" s="575" t="str">
        <f>$K$31</f>
        <v>強制進位至整數</v>
      </c>
      <c r="AF31" s="575"/>
    </row>
    <row r="37" spans="7:9" ht="22.25" customHeight="1" x14ac:dyDescent="0.4">
      <c r="G37" s="136"/>
      <c r="H37" s="136"/>
      <c r="I37" s="136"/>
    </row>
  </sheetData>
  <sheetProtection algorithmName="SHA-512" hashValue="IMGrNlPPKSkKrPpcnDScAivoAl2LuXOY6PKVCCSw3TVIR/wdAcR1nd3wtZzi10hgHjL4HpiKRBULbUMWBLk4Wg==" saltValue="PJnC21r/VqwrSjbwZEMXFw==" spinCount="100000" sheet="1" objects="1" scenarios="1" formatCells="0" autoFilter="0"/>
  <mergeCells count="158">
    <mergeCell ref="AM1:AN2"/>
    <mergeCell ref="AF2:AJ2"/>
    <mergeCell ref="AG1:AH1"/>
    <mergeCell ref="AE31:AF31"/>
    <mergeCell ref="I30:J30"/>
    <mergeCell ref="M30:N30"/>
    <mergeCell ref="Q30:R30"/>
    <mergeCell ref="U30:V30"/>
    <mergeCell ref="Y30:Z30"/>
    <mergeCell ref="AC30:AD30"/>
    <mergeCell ref="K31:L31"/>
    <mergeCell ref="O31:P31"/>
    <mergeCell ref="S31:T31"/>
    <mergeCell ref="W31:X31"/>
    <mergeCell ref="AA31:AB31"/>
    <mergeCell ref="AE30:AF30"/>
    <mergeCell ref="K30:L30"/>
    <mergeCell ref="O30:P30"/>
    <mergeCell ref="S30:T30"/>
    <mergeCell ref="W30:X30"/>
    <mergeCell ref="AA30:AB30"/>
    <mergeCell ref="AB13:AC13"/>
    <mergeCell ref="G15:I15"/>
    <mergeCell ref="S15:U15"/>
    <mergeCell ref="G27:H27"/>
    <mergeCell ref="F29:H29"/>
    <mergeCell ref="I29:L29"/>
    <mergeCell ref="M29:P29"/>
    <mergeCell ref="Q29:T29"/>
    <mergeCell ref="U29:X29"/>
    <mergeCell ref="Y29:AB29"/>
    <mergeCell ref="AC29:AF29"/>
    <mergeCell ref="M27:P27"/>
    <mergeCell ref="Q27:T27"/>
    <mergeCell ref="U27:X27"/>
    <mergeCell ref="Y27:AB27"/>
    <mergeCell ref="F28:H28"/>
    <mergeCell ref="I28:L28"/>
    <mergeCell ref="M28:P28"/>
    <mergeCell ref="Q28:T28"/>
    <mergeCell ref="U28:X28"/>
    <mergeCell ref="Y28:AB28"/>
    <mergeCell ref="AC28:AF28"/>
    <mergeCell ref="V16:W16"/>
    <mergeCell ref="N17:O17"/>
    <mergeCell ref="W17:Y17"/>
    <mergeCell ref="J20:K20"/>
    <mergeCell ref="N20:O20"/>
    <mergeCell ref="R20:S20"/>
    <mergeCell ref="V20:W20"/>
    <mergeCell ref="Z20:AA20"/>
    <mergeCell ref="M3:O3"/>
    <mergeCell ref="W10:Y10"/>
    <mergeCell ref="Z10:AA10"/>
    <mergeCell ref="AB7:AC7"/>
    <mergeCell ref="Q9:R9"/>
    <mergeCell ref="S9:T9"/>
    <mergeCell ref="X9:Y9"/>
    <mergeCell ref="AD9:AE9"/>
    <mergeCell ref="F4:G4"/>
    <mergeCell ref="H4:I4"/>
    <mergeCell ref="J4:K4"/>
    <mergeCell ref="M4:O4"/>
    <mergeCell ref="R4:S4"/>
    <mergeCell ref="T4:U4"/>
    <mergeCell ref="V4:W4"/>
    <mergeCell ref="X4:Y4"/>
    <mergeCell ref="Z4:AA4"/>
    <mergeCell ref="F1:K1"/>
    <mergeCell ref="M1:O1"/>
    <mergeCell ref="X1:Y1"/>
    <mergeCell ref="AD1:AE1"/>
    <mergeCell ref="R2:Y2"/>
    <mergeCell ref="AB2:AE2"/>
    <mergeCell ref="V7:Y7"/>
    <mergeCell ref="N10:O10"/>
    <mergeCell ref="G12:H12"/>
    <mergeCell ref="J12:M12"/>
    <mergeCell ref="N12:O12"/>
    <mergeCell ref="P12:R12"/>
    <mergeCell ref="S12:T12"/>
    <mergeCell ref="V12:Y12"/>
    <mergeCell ref="Z12:AA12"/>
    <mergeCell ref="T5:Y5"/>
    <mergeCell ref="H5:I5"/>
    <mergeCell ref="J5:K5"/>
    <mergeCell ref="AB4:AC4"/>
    <mergeCell ref="AD4:AE4"/>
    <mergeCell ref="Z2:AA2"/>
    <mergeCell ref="AD3:AE3"/>
    <mergeCell ref="H2:I2"/>
    <mergeCell ref="J2:K2"/>
    <mergeCell ref="F21:G21"/>
    <mergeCell ref="H21:I21"/>
    <mergeCell ref="F2:G2"/>
    <mergeCell ref="F3:G3"/>
    <mergeCell ref="H3:I3"/>
    <mergeCell ref="I27:L27"/>
    <mergeCell ref="AB12:AD12"/>
    <mergeCell ref="J13:K13"/>
    <mergeCell ref="N9:O9"/>
    <mergeCell ref="P13:Q13"/>
    <mergeCell ref="V13:W13"/>
    <mergeCell ref="R3:S3"/>
    <mergeCell ref="T3:U3"/>
    <mergeCell ref="V3:W3"/>
    <mergeCell ref="X3:Y3"/>
    <mergeCell ref="Z3:AA3"/>
    <mergeCell ref="AB3:AC3"/>
    <mergeCell ref="J3:K3"/>
    <mergeCell ref="L9:M9"/>
    <mergeCell ref="Z9:AA9"/>
    <mergeCell ref="G9:H9"/>
    <mergeCell ref="L10:M10"/>
    <mergeCell ref="AD20:AE20"/>
    <mergeCell ref="K25:L25"/>
    <mergeCell ref="AE25:AF25"/>
    <mergeCell ref="F26:H26"/>
    <mergeCell ref="I26:J26"/>
    <mergeCell ref="I22:J22"/>
    <mergeCell ref="K22:N22"/>
    <mergeCell ref="O22:R22"/>
    <mergeCell ref="S22:V22"/>
    <mergeCell ref="W22:Z22"/>
    <mergeCell ref="AA22:AD22"/>
    <mergeCell ref="AE22:AF22"/>
    <mergeCell ref="F22:H22"/>
    <mergeCell ref="F23:H23"/>
    <mergeCell ref="I23:J23"/>
    <mergeCell ref="K23:N23"/>
    <mergeCell ref="O23:R23"/>
    <mergeCell ref="S23:V23"/>
    <mergeCell ref="W23:Z23"/>
    <mergeCell ref="AA23:AD23"/>
    <mergeCell ref="AE23:AF23"/>
    <mergeCell ref="G24:H24"/>
    <mergeCell ref="AA26:AB26"/>
    <mergeCell ref="AC26:AD26"/>
    <mergeCell ref="AE26:AF26"/>
    <mergeCell ref="I25:J25"/>
    <mergeCell ref="M25:N25"/>
    <mergeCell ref="O25:P25"/>
    <mergeCell ref="Q25:R25"/>
    <mergeCell ref="S25:T25"/>
    <mergeCell ref="U25:V25"/>
    <mergeCell ref="W25:X25"/>
    <mergeCell ref="Y25:Z25"/>
    <mergeCell ref="AA25:AB25"/>
    <mergeCell ref="AC25:AD25"/>
    <mergeCell ref="K26:L26"/>
    <mergeCell ref="M26:N26"/>
    <mergeCell ref="O26:P26"/>
    <mergeCell ref="Q26:R26"/>
    <mergeCell ref="S26:T26"/>
    <mergeCell ref="U26:V26"/>
    <mergeCell ref="W26:X26"/>
    <mergeCell ref="Y26:Z26"/>
    <mergeCell ref="AC27:AF27"/>
  </mergeCells>
  <phoneticPr fontId="1" type="noConversion"/>
  <dataValidations disablePrompts="1" count="1">
    <dataValidation type="list" allowBlank="1" showInputMessage="1" showErrorMessage="1" sqref="S15:U15 O31:P31 S31:T31 AA31:AB31 W31:X31 AE31:AF31 K31:L31 J16" xr:uid="{00000000-0002-0000-0400-000000000000}">
      <formula1>"強制進位至整數,(四捨五入至整數)"</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00000"/>
  </sheetPr>
  <dimension ref="C1:BY51"/>
  <sheetViews>
    <sheetView showGridLines="0" topLeftCell="F1" zoomScale="75" zoomScaleNormal="75" workbookViewId="0">
      <pane ySplit="4" topLeftCell="A20" activePane="bottomLeft" state="frozen"/>
      <selection activeCell="B1" sqref="B1"/>
      <selection pane="bottomLeft" activeCell="AE21" sqref="AE21:AF21"/>
    </sheetView>
  </sheetViews>
  <sheetFormatPr defaultColWidth="8.90625" defaultRowHeight="22.25" customHeight="1" x14ac:dyDescent="0.4"/>
  <cols>
    <col min="1" max="1" width="0" style="32" hidden="1" customWidth="1"/>
    <col min="2" max="2" width="1.36328125" style="32" customWidth="1"/>
    <col min="3" max="3" width="6" style="32" customWidth="1"/>
    <col min="4" max="4" width="8.36328125" style="32" customWidth="1"/>
    <col min="5" max="5" width="1.08984375" style="32" customWidth="1"/>
    <col min="6" max="21" width="7.90625" style="32" customWidth="1"/>
    <col min="22" max="22" width="10.453125" style="32" customWidth="1"/>
    <col min="23" max="30" width="7.90625" style="32" customWidth="1"/>
    <col min="31" max="31" width="10.81640625" style="32" customWidth="1"/>
    <col min="32" max="32" width="12" style="32" customWidth="1"/>
    <col min="33" max="33" width="9.36328125" style="32" customWidth="1"/>
    <col min="34" max="34" width="8.54296875" style="32" customWidth="1"/>
    <col min="35" max="35" width="7" style="32" customWidth="1"/>
    <col min="36" max="36" width="8.08984375" style="32" customWidth="1"/>
    <col min="37" max="37" width="6.6328125" style="21" customWidth="1"/>
    <col min="38" max="38" width="7.08984375" style="21" customWidth="1"/>
    <col min="39" max="39" width="12.90625" style="21" customWidth="1"/>
    <col min="40" max="40" width="12.453125" style="21" customWidth="1"/>
    <col min="41" max="49" width="7.08984375" style="21" customWidth="1"/>
    <col min="50" max="52" width="8.90625" style="21"/>
    <col min="53" max="61" width="8.90625" style="32"/>
    <col min="62" max="77" width="8.90625" style="21"/>
    <col min="78" max="16384" width="8.90625" style="32"/>
  </cols>
  <sheetData>
    <row r="1" spans="3:77" ht="22.25" customHeight="1" thickBot="1" x14ac:dyDescent="0.45">
      <c r="F1" s="636" t="s">
        <v>155</v>
      </c>
      <c r="G1" s="637"/>
      <c r="H1" s="637"/>
      <c r="I1" s="637"/>
      <c r="J1" s="637"/>
      <c r="K1" s="638"/>
      <c r="M1" s="639" t="s">
        <v>156</v>
      </c>
      <c r="N1" s="640"/>
      <c r="O1" s="640"/>
      <c r="AA1" s="280" t="s">
        <v>239</v>
      </c>
      <c r="AB1" s="32">
        <f>VLOOKUP(IF(($V4-1)&gt;$J$5,$J$5,($V4-1)),特休表,2,0)*$T4</f>
        <v>15</v>
      </c>
      <c r="AD1" s="280" t="s">
        <v>239</v>
      </c>
      <c r="AE1" s="32">
        <f>VLOOKUP(($V$4),特休表,2)-VLOOKUP(($V$4),特休表,2)*T4</f>
        <v>15</v>
      </c>
      <c r="AF1" s="280" t="s">
        <v>239</v>
      </c>
      <c r="AG1" s="226">
        <f>IF(F2&lt;M2-1,0,1)*ROUND(3-3*IF((MONTH($H$4)-1+(DAY($H$4)-1)/DAY(EOMONTH(($H$4-1),0)))/6&gt;=1,1,(MONTH($H$4)-1+(DAY($H$4)-1)/DAY(EOMONTH(($H$4-1),0)))/6),4)</f>
        <v>0</v>
      </c>
      <c r="AM1" s="571" t="s">
        <v>1319</v>
      </c>
      <c r="AN1" s="571"/>
    </row>
    <row r="2" spans="3:77" ht="22.25" customHeight="1" thickTop="1" thickBot="1" x14ac:dyDescent="0.45">
      <c r="C2" s="73" t="s">
        <v>69</v>
      </c>
      <c r="D2" s="73" t="s">
        <v>68</v>
      </c>
      <c r="F2" s="446">
        <v>80</v>
      </c>
      <c r="G2" s="447"/>
      <c r="H2" s="509">
        <v>7</v>
      </c>
      <c r="I2" s="509"/>
      <c r="J2" s="510">
        <v>1</v>
      </c>
      <c r="K2" s="511"/>
      <c r="L2"/>
      <c r="M2" s="287">
        <v>109</v>
      </c>
      <c r="N2" s="286">
        <v>12</v>
      </c>
      <c r="O2" s="285">
        <v>31</v>
      </c>
      <c r="P2"/>
      <c r="Q2"/>
      <c r="R2" s="21"/>
      <c r="S2" s="21"/>
      <c r="T2" s="430" t="s">
        <v>83</v>
      </c>
      <c r="U2" s="430"/>
      <c r="V2" s="430"/>
      <c r="W2" s="430"/>
      <c r="X2" s="430"/>
      <c r="Y2" s="650"/>
      <c r="Z2" s="505" t="s">
        <v>159</v>
      </c>
      <c r="AA2" s="506"/>
      <c r="AB2" s="641" t="s">
        <v>240</v>
      </c>
      <c r="AC2" s="642"/>
      <c r="AD2" s="642"/>
      <c r="AE2" s="643"/>
      <c r="AF2" s="572" t="s">
        <v>1321</v>
      </c>
      <c r="AG2" s="572"/>
      <c r="AH2" s="573"/>
      <c r="AI2" s="573"/>
      <c r="AJ2" s="572"/>
      <c r="AM2" s="571"/>
      <c r="AN2" s="571"/>
      <c r="BJ2" s="32"/>
      <c r="BK2" s="32"/>
      <c r="BL2" s="32"/>
      <c r="BM2" s="32"/>
      <c r="BN2" s="32"/>
      <c r="BO2" s="32"/>
      <c r="BP2" s="32"/>
      <c r="BQ2" s="32"/>
      <c r="BR2" s="32"/>
      <c r="BS2" s="32"/>
      <c r="BT2" s="32"/>
      <c r="BU2" s="32"/>
      <c r="BV2" s="32"/>
      <c r="BW2" s="32"/>
      <c r="BX2" s="32"/>
      <c r="BY2" s="32"/>
    </row>
    <row r="3" spans="3:77" ht="41.4" customHeight="1" thickTop="1" thickBot="1" x14ac:dyDescent="0.45">
      <c r="C3" s="76" t="s">
        <v>0</v>
      </c>
      <c r="D3" s="77" t="s">
        <v>67</v>
      </c>
      <c r="F3" s="654" t="s">
        <v>4</v>
      </c>
      <c r="G3" s="654"/>
      <c r="H3" s="443" t="s">
        <v>92</v>
      </c>
      <c r="I3" s="443"/>
      <c r="J3" s="655"/>
      <c r="K3" s="655"/>
      <c r="L3"/>
      <c r="M3" s="656" t="s">
        <v>93</v>
      </c>
      <c r="N3" s="615"/>
      <c r="O3" s="615"/>
      <c r="P3"/>
      <c r="Q3"/>
      <c r="R3" s="460" t="s">
        <v>165</v>
      </c>
      <c r="S3" s="460"/>
      <c r="T3" s="460" t="s">
        <v>166</v>
      </c>
      <c r="U3" s="460"/>
      <c r="V3" s="460" t="s">
        <v>167</v>
      </c>
      <c r="W3" s="460"/>
      <c r="X3" s="460" t="s">
        <v>168</v>
      </c>
      <c r="Y3" s="460"/>
      <c r="Z3" s="461" t="s">
        <v>169</v>
      </c>
      <c r="AA3" s="462"/>
      <c r="AB3" s="463" t="s">
        <v>170</v>
      </c>
      <c r="AC3" s="464"/>
      <c r="AD3" s="507" t="s">
        <v>171</v>
      </c>
      <c r="AE3" s="508"/>
      <c r="AF3" s="356" t="str">
        <f>$M$2&amp;"年度"</f>
        <v>109年度</v>
      </c>
      <c r="AG3" s="357" t="str">
        <f>$M$2&amp;"年 1/1前 "</f>
        <v xml:space="preserve">109年 1/1前 </v>
      </c>
      <c r="AH3" s="359" t="str">
        <f>$M$2&amp;"年 1/1後"</f>
        <v>109年 1/1後</v>
      </c>
      <c r="AI3" s="360" t="str">
        <f>$M$2+1&amp;" 年前"</f>
        <v>110 年前</v>
      </c>
      <c r="AJ3" s="358" t="str">
        <f>$M$2+1&amp;"   年後"</f>
        <v>110   年後</v>
      </c>
      <c r="AM3" s="364">
        <f>DATE($M$2+1911-1,1,1)</f>
        <v>43466</v>
      </c>
      <c r="AN3" s="365">
        <f>DATE($M$2+1911,1,1)</f>
        <v>43831</v>
      </c>
      <c r="BJ3" s="32"/>
      <c r="BK3" s="32"/>
      <c r="BL3" s="32"/>
      <c r="BM3" s="32"/>
      <c r="BN3" s="32"/>
      <c r="BO3" s="32"/>
      <c r="BP3" s="32"/>
      <c r="BQ3" s="32"/>
      <c r="BR3" s="32"/>
      <c r="BS3" s="32"/>
      <c r="BT3" s="32"/>
      <c r="BU3" s="32"/>
      <c r="BV3" s="32"/>
      <c r="BW3" s="32"/>
      <c r="BX3" s="32"/>
      <c r="BY3" s="32"/>
    </row>
    <row r="4" spans="3:77" ht="22.25" customHeight="1" thickTop="1" thickBot="1" x14ac:dyDescent="0.45">
      <c r="C4" s="78">
        <v>0</v>
      </c>
      <c r="D4" s="39">
        <v>0</v>
      </c>
      <c r="F4" s="651"/>
      <c r="G4" s="652"/>
      <c r="H4" s="653">
        <f>DATE(F2+1911,H2,J2)+F4</f>
        <v>33420</v>
      </c>
      <c r="I4" s="653"/>
      <c r="J4" s="525">
        <f>IF(OR($H4=0,$H4&gt;$M$4),0,DATEDIF($H4+$G4,$M$4+1,"Y"))</f>
        <v>29</v>
      </c>
      <c r="K4" s="525"/>
      <c r="L4"/>
      <c r="M4" s="657">
        <f>DATE($M$2+11,$N$2,$O$2)</f>
        <v>44196</v>
      </c>
      <c r="N4" s="657"/>
      <c r="O4" s="657"/>
      <c r="P4"/>
      <c r="Q4"/>
      <c r="R4" s="624">
        <f>$AF$4+$X$4</f>
        <v>30</v>
      </c>
      <c r="S4" s="624"/>
      <c r="T4" s="625">
        <f>(MONTH(H4)-1+(DAY(H4)-1)/DAY(EOMONTH((H4-1),0)))/12</f>
        <v>0.5</v>
      </c>
      <c r="U4" s="625"/>
      <c r="V4" s="525">
        <f>IF($H4=0,0,DATEDIF($H4+$G4,DATE(M2+1911,MONTH(H4),DAY(H4)),"Y"))</f>
        <v>29</v>
      </c>
      <c r="W4" s="525"/>
      <c r="X4" s="645">
        <f>IF(OR(V4=0,J4=0),0,VLOOKUP(IF($V4&gt;$J$5,$J$5,$V4),特休,2,0)-ROUND(VLOOKUP(IF($V4&gt;$J$5,$J$5,$V4),特休,2,0)*$T4,2))+IF(OR(V4=0,J4=0),0,ROUND(VLOOKUP(IF($V4&gt;$J$5,$J$5,$V4-1),特休,2,0)*$T4,2))</f>
        <v>30</v>
      </c>
      <c r="Y4" s="645"/>
      <c r="Z4" s="649">
        <f>AD4+AB4+AF4</f>
        <v>30</v>
      </c>
      <c r="AA4" s="649"/>
      <c r="AB4" s="647">
        <f>ROUND(VLOOKUP(IF(($V4-1)&gt;$J$5,$J$5,($V4-1)),特休表,2,0)*$T4,2)</f>
        <v>15</v>
      </c>
      <c r="AC4" s="647"/>
      <c r="AD4" s="646">
        <f>VLOOKUP(($V$4),特休表,2)-ROUND(VLOOKUP(($V$4),特休表,2)*T4,2)</f>
        <v>15</v>
      </c>
      <c r="AE4" s="646"/>
      <c r="AF4" s="366">
        <f>IF(AND(H4&gt;=$AM$4,H4&lt;=$AN$3),3,AH4+AI4)</f>
        <v>0</v>
      </c>
      <c r="AG4" s="367">
        <f>IF(AH4=0,0,3-$AH$4)</f>
        <v>0</v>
      </c>
      <c r="AH4" s="375">
        <f>IF(AND($H$4&gt;$AM$3,$H$4&lt;$AM$4),ROUND(3*(MONTH($H$4)-1+(DAY($H$4)-1)/DAY(EOMONTH(($H$4-1),0)))/6,2),0)</f>
        <v>0</v>
      </c>
      <c r="AI4" s="376">
        <f>IF(AND($H4&gt;$AN$3,$H4&lt;$AN$4),3-ROUND(3*(MONTH($H4)-1+(DAY($H4)-1)/DAY(EOMONTH(($H4-1),0)))/6,2),0)</f>
        <v>0</v>
      </c>
      <c r="AJ4" s="377">
        <f>IF($AI4=0,0,3-$AI4)</f>
        <v>0</v>
      </c>
      <c r="AM4" s="364">
        <f>DATE($M$2+1911-1,7,1)</f>
        <v>43647</v>
      </c>
      <c r="AN4" s="365">
        <f>DATE($M$2+1911,7,1)</f>
        <v>44013</v>
      </c>
      <c r="BJ4" s="32"/>
      <c r="BK4" s="32"/>
      <c r="BL4" s="32"/>
      <c r="BM4" s="32"/>
      <c r="BN4" s="32"/>
      <c r="BO4" s="32"/>
      <c r="BP4" s="32"/>
      <c r="BQ4" s="32"/>
      <c r="BR4" s="32"/>
      <c r="BS4" s="32"/>
      <c r="BT4" s="32"/>
      <c r="BU4" s="32"/>
      <c r="BV4" s="32"/>
      <c r="BW4" s="32"/>
      <c r="BX4" s="32"/>
      <c r="BY4" s="32"/>
    </row>
    <row r="5" spans="3:77" ht="19.25" customHeight="1" thickTop="1" x14ac:dyDescent="0.4">
      <c r="C5" s="78">
        <v>0.5</v>
      </c>
      <c r="D5" s="39">
        <v>3</v>
      </c>
      <c r="F5" s="21"/>
      <c r="G5" s="21"/>
      <c r="H5" s="615" t="s">
        <v>7</v>
      </c>
      <c r="I5" s="615"/>
      <c r="J5" s="615">
        <v>24</v>
      </c>
      <c r="K5" s="615"/>
      <c r="L5"/>
      <c r="M5"/>
      <c r="N5"/>
      <c r="P5" s="648" t="s">
        <v>115</v>
      </c>
      <c r="Q5" s="648"/>
      <c r="R5" s="79"/>
      <c r="T5" s="644" t="str">
        <f>"=("&amp;MONTH(H4)-1&amp;"+"&amp;(DAY(H4)-1)&amp;"/"&amp;DAY(EOMONTH((H4-1),0))&amp;")"&amp;"/12"</f>
        <v>=(6+0/30)/12</v>
      </c>
      <c r="U5" s="644"/>
      <c r="V5" s="289"/>
      <c r="Y5" s="74" t="s">
        <v>245</v>
      </c>
      <c r="Z5" s="206" t="s">
        <v>241</v>
      </c>
      <c r="AA5" s="21"/>
      <c r="AB5" s="21"/>
      <c r="AC5" s="21"/>
      <c r="AD5" s="21"/>
      <c r="AE5" s="21"/>
      <c r="AF5" s="21"/>
      <c r="AH5" s="21"/>
      <c r="AI5" s="21"/>
      <c r="AJ5" s="21"/>
      <c r="BJ5" s="32"/>
      <c r="BK5" s="32"/>
      <c r="BL5" s="32"/>
      <c r="BM5" s="32"/>
      <c r="BN5" s="32"/>
      <c r="BO5" s="32"/>
      <c r="BP5" s="32"/>
      <c r="BQ5" s="32"/>
      <c r="BR5" s="32"/>
      <c r="BS5" s="32"/>
      <c r="BT5" s="32"/>
      <c r="BU5" s="32"/>
      <c r="BV5" s="32"/>
      <c r="BW5" s="32"/>
      <c r="BX5" s="32"/>
      <c r="BY5" s="32"/>
    </row>
    <row r="6" spans="3:77" ht="22.25" customHeight="1" x14ac:dyDescent="0.4">
      <c r="C6" s="80">
        <v>1</v>
      </c>
      <c r="D6" s="39">
        <v>7</v>
      </c>
      <c r="F6"/>
      <c r="G6"/>
      <c r="H6"/>
      <c r="I6"/>
      <c r="J6"/>
      <c r="K6"/>
      <c r="L6"/>
      <c r="M6"/>
      <c r="N6"/>
      <c r="T6" s="623" t="s">
        <v>116</v>
      </c>
      <c r="U6" s="623"/>
      <c r="V6" s="623"/>
      <c r="Y6" s="81"/>
      <c r="Z6" s="207" t="s">
        <v>244</v>
      </c>
      <c r="AA6" s="21"/>
      <c r="AB6" s="21"/>
      <c r="AC6" s="21"/>
      <c r="AD6" s="21"/>
      <c r="AE6" s="21"/>
      <c r="AF6" s="74" t="s">
        <v>175</v>
      </c>
      <c r="AG6" s="32" t="str">
        <f>"("&amp;MONTH(H4)-1&amp;"+"&amp;(DAY(H4)-1)&amp;"/"&amp;DAY(EOMONTH((H4-1),0))&amp;")"&amp;"/6"</f>
        <v>(6+0/30)/6</v>
      </c>
      <c r="AH6" s="21"/>
      <c r="AI6" s="21"/>
      <c r="AJ6" s="21"/>
      <c r="BJ6" s="32"/>
      <c r="BK6" s="32"/>
      <c r="BL6" s="32"/>
      <c r="BM6" s="32"/>
      <c r="BN6" s="32"/>
      <c r="BO6" s="32"/>
      <c r="BP6" s="32"/>
      <c r="BQ6" s="32"/>
      <c r="BR6" s="32"/>
      <c r="BS6" s="32"/>
      <c r="BT6" s="32"/>
      <c r="BU6" s="32"/>
      <c r="BV6" s="32"/>
      <c r="BW6" s="32"/>
      <c r="BX6" s="32"/>
      <c r="BY6" s="32"/>
    </row>
    <row r="7" spans="3:77" ht="22.25" customHeight="1" x14ac:dyDescent="0.4">
      <c r="C7" s="80">
        <v>2</v>
      </c>
      <c r="D7" s="39">
        <v>10</v>
      </c>
      <c r="F7"/>
      <c r="G7"/>
      <c r="H7"/>
      <c r="I7"/>
      <c r="J7"/>
      <c r="K7"/>
      <c r="L7"/>
      <c r="M7"/>
      <c r="N7" s="633"/>
      <c r="O7" s="634"/>
      <c r="P7" s="634"/>
      <c r="Q7" s="634"/>
      <c r="R7" s="635"/>
      <c r="S7" s="591"/>
      <c r="T7" s="592"/>
      <c r="U7" s="592"/>
      <c r="V7" s="592"/>
      <c r="W7" s="592"/>
      <c r="X7" s="592"/>
      <c r="Y7" s="593"/>
      <c r="AD7" s="75"/>
      <c r="AE7" s="75"/>
      <c r="AF7" s="74" t="s">
        <v>1322</v>
      </c>
      <c r="AG7" s="327">
        <f>(MONTH($H$4)-1+(DAY($H$4)-1)/DAY(EOMONTH(($H$4-1),0)))/6</f>
        <v>1</v>
      </c>
      <c r="AH7" s="21"/>
      <c r="AI7" s="21"/>
      <c r="AJ7" s="21"/>
      <c r="BJ7" s="32"/>
      <c r="BK7" s="32"/>
      <c r="BL7" s="32"/>
      <c r="BM7" s="32"/>
      <c r="BN7" s="32"/>
      <c r="BO7" s="32"/>
      <c r="BP7" s="32"/>
      <c r="BQ7" s="32"/>
      <c r="BR7" s="32"/>
      <c r="BS7" s="32"/>
      <c r="BT7" s="32"/>
      <c r="BU7" s="32"/>
      <c r="BV7" s="32"/>
      <c r="BW7" s="32"/>
      <c r="BX7" s="32"/>
      <c r="BY7" s="32"/>
    </row>
    <row r="8" spans="3:77" ht="22.25" customHeight="1" x14ac:dyDescent="0.4">
      <c r="C8" s="80">
        <v>3</v>
      </c>
      <c r="D8" s="39">
        <v>14</v>
      </c>
      <c r="F8"/>
      <c r="G8"/>
      <c r="H8"/>
      <c r="I8" s="275"/>
      <c r="J8" s="275"/>
      <c r="K8" s="275"/>
      <c r="L8" s="275"/>
      <c r="M8" s="275"/>
      <c r="N8" s="331">
        <v>43466</v>
      </c>
      <c r="O8" s="331"/>
      <c r="P8" s="331"/>
      <c r="Q8" s="331"/>
      <c r="R8" s="332">
        <v>43599</v>
      </c>
      <c r="S8" s="332"/>
      <c r="T8" s="332"/>
      <c r="U8" s="333"/>
      <c r="V8" s="333"/>
      <c r="W8" s="333"/>
      <c r="X8" s="333"/>
      <c r="Y8" s="333">
        <v>43830</v>
      </c>
      <c r="Z8" s="82"/>
      <c r="AA8" s="82"/>
      <c r="AF8" s="326"/>
      <c r="AG8" s="328"/>
      <c r="BJ8" s="32"/>
      <c r="BK8" s="32"/>
      <c r="BL8" s="32"/>
      <c r="BM8" s="32"/>
      <c r="BN8" s="32"/>
      <c r="BO8" s="32"/>
      <c r="BP8" s="32"/>
      <c r="BQ8" s="32"/>
      <c r="BR8" s="32"/>
      <c r="BS8" s="32"/>
      <c r="BT8" s="32"/>
      <c r="BU8" s="32"/>
      <c r="BV8" s="32"/>
      <c r="BW8" s="32"/>
      <c r="BX8" s="32"/>
      <c r="BY8" s="32"/>
    </row>
    <row r="9" spans="3:77" ht="22.25" customHeight="1" thickBot="1" x14ac:dyDescent="0.45">
      <c r="C9" s="80">
        <v>4</v>
      </c>
      <c r="D9" s="39">
        <v>14</v>
      </c>
      <c r="H9" s="83"/>
      <c r="I9" s="604"/>
      <c r="J9" s="604"/>
      <c r="K9" s="604"/>
      <c r="L9" s="605" t="s">
        <v>71</v>
      </c>
      <c r="M9" s="605"/>
      <c r="N9" s="606" t="s">
        <v>72</v>
      </c>
      <c r="O9" s="606"/>
      <c r="P9" s="334">
        <v>43586</v>
      </c>
      <c r="Q9" s="83"/>
      <c r="V9" s="321">
        <v>43622</v>
      </c>
      <c r="X9" s="605" t="s">
        <v>71</v>
      </c>
      <c r="Y9" s="605"/>
      <c r="Z9" s="606" t="s">
        <v>72</v>
      </c>
      <c r="AA9" s="606"/>
      <c r="BJ9" s="32"/>
      <c r="BK9" s="32"/>
      <c r="BL9" s="32"/>
      <c r="BM9" s="32"/>
      <c r="BN9" s="32"/>
      <c r="BO9" s="32"/>
      <c r="BP9" s="32"/>
      <c r="BQ9" s="32"/>
      <c r="BR9" s="32"/>
      <c r="BS9" s="32"/>
      <c r="BT9" s="32"/>
      <c r="BU9" s="32"/>
      <c r="BV9" s="32"/>
      <c r="BW9" s="32"/>
      <c r="BX9" s="32"/>
      <c r="BY9" s="32"/>
    </row>
    <row r="10" spans="3:77" ht="22.25" customHeight="1" thickTop="1" thickBot="1" x14ac:dyDescent="0.45">
      <c r="C10" s="80">
        <v>5</v>
      </c>
      <c r="D10" s="39">
        <v>15</v>
      </c>
      <c r="F10" s="84"/>
      <c r="G10" s="85" t="s">
        <v>65</v>
      </c>
      <c r="H10" s="86"/>
      <c r="I10" s="324" t="s">
        <v>1146</v>
      </c>
      <c r="J10" s="86"/>
      <c r="K10" s="86"/>
      <c r="L10" s="470" t="s">
        <v>72</v>
      </c>
      <c r="M10" s="470"/>
      <c r="N10" s="484">
        <f>J12+1</f>
        <v>43831</v>
      </c>
      <c r="O10" s="485"/>
      <c r="P10" s="323" t="s">
        <v>1145</v>
      </c>
      <c r="Q10" s="87"/>
      <c r="R10" s="88"/>
      <c r="S10" s="87" t="s">
        <v>65</v>
      </c>
      <c r="T10" s="87"/>
      <c r="U10" s="323" t="s">
        <v>131</v>
      </c>
      <c r="V10" s="87"/>
      <c r="W10" s="536">
        <f>V12</f>
        <v>44196</v>
      </c>
      <c r="X10" s="536"/>
      <c r="Y10" s="537"/>
      <c r="Z10" s="538">
        <f>W10+1</f>
        <v>44197</v>
      </c>
      <c r="AA10" s="538"/>
      <c r="AB10" s="324" t="s">
        <v>1144</v>
      </c>
      <c r="AC10" s="86"/>
      <c r="AD10" s="89"/>
      <c r="AE10" s="32" t="s">
        <v>65</v>
      </c>
      <c r="BJ10" s="32"/>
      <c r="BK10" s="32"/>
      <c r="BL10" s="32"/>
      <c r="BM10" s="32"/>
      <c r="BN10" s="32"/>
      <c r="BO10" s="32"/>
      <c r="BP10" s="32"/>
      <c r="BQ10" s="32"/>
      <c r="BR10" s="32"/>
      <c r="BS10" s="32"/>
      <c r="BT10" s="32"/>
      <c r="BU10" s="32"/>
      <c r="BV10" s="32"/>
      <c r="BW10" s="32"/>
      <c r="BX10" s="32"/>
      <c r="BY10" s="32"/>
    </row>
    <row r="11" spans="3:77" ht="22.25" customHeight="1" thickBot="1" x14ac:dyDescent="0.45">
      <c r="C11" s="80">
        <v>6</v>
      </c>
      <c r="D11" s="40">
        <v>15</v>
      </c>
      <c r="F11" s="137"/>
      <c r="G11" s="195">
        <f>IF(V4=0,0,V4-1)</f>
        <v>28</v>
      </c>
      <c r="H11" s="138" t="s">
        <v>70</v>
      </c>
      <c r="I11" s="139"/>
      <c r="J11" s="139"/>
      <c r="K11" s="139"/>
      <c r="L11" s="139"/>
      <c r="M11" s="139">
        <f>IF(V4=0,0,VLOOKUP(($V$4-1),特休,2))</f>
        <v>30</v>
      </c>
      <c r="N11" s="139" t="s">
        <v>64</v>
      </c>
      <c r="O11" s="139"/>
      <c r="P11" s="139"/>
      <c r="Q11" s="139"/>
      <c r="R11" s="140"/>
      <c r="S11" s="141">
        <f>V4</f>
        <v>29</v>
      </c>
      <c r="T11" s="142" t="s">
        <v>70</v>
      </c>
      <c r="U11" s="142"/>
      <c r="V11" s="142"/>
      <c r="W11" s="142"/>
      <c r="X11" s="142"/>
      <c r="Y11" s="142">
        <f>VLOOKUP(($V$4),特休,2)</f>
        <v>30</v>
      </c>
      <c r="Z11" s="142" t="s">
        <v>64</v>
      </c>
      <c r="AA11" s="142"/>
      <c r="AB11" s="142"/>
      <c r="AC11" s="142"/>
      <c r="AD11" s="143"/>
      <c r="BJ11" s="32"/>
      <c r="BK11" s="32"/>
      <c r="BL11" s="32"/>
      <c r="BM11" s="32"/>
      <c r="BN11" s="32"/>
      <c r="BO11" s="32"/>
      <c r="BP11" s="32"/>
      <c r="BQ11" s="32"/>
      <c r="BR11" s="32"/>
      <c r="BS11" s="32"/>
      <c r="BT11" s="32"/>
      <c r="BU11" s="32"/>
      <c r="BV11" s="32"/>
      <c r="BW11" s="32"/>
      <c r="BX11" s="32"/>
      <c r="BY11" s="32"/>
    </row>
    <row r="12" spans="3:77" ht="22.4" customHeight="1" x14ac:dyDescent="0.4">
      <c r="C12" s="80">
        <v>7</v>
      </c>
      <c r="D12" s="40">
        <v>15</v>
      </c>
      <c r="F12" s="144"/>
      <c r="G12" s="486">
        <f>DATE($M$2+1911-1,MONTH($H$4),DAY($H$4))</f>
        <v>43647</v>
      </c>
      <c r="H12" s="487"/>
      <c r="I12" s="147"/>
      <c r="J12" s="616">
        <f>DATE($M$2+1911-1,12,31)</f>
        <v>43830</v>
      </c>
      <c r="K12" s="616"/>
      <c r="L12" s="616"/>
      <c r="M12" s="616"/>
      <c r="N12" s="617">
        <f>N10</f>
        <v>43831</v>
      </c>
      <c r="O12" s="618"/>
      <c r="P12" s="148"/>
      <c r="Q12" s="148"/>
      <c r="R12" s="149">
        <f>DATE(YEAR($G$12)+1,MONTH($H$4),DAY($H$4)-1)</f>
        <v>44012</v>
      </c>
      <c r="S12" s="586">
        <f>R12+1</f>
        <v>44013</v>
      </c>
      <c r="T12" s="586"/>
      <c r="U12" s="150"/>
      <c r="V12" s="619">
        <f>DATE(YEAR($J$12)+1,12,31)</f>
        <v>44196</v>
      </c>
      <c r="W12" s="619"/>
      <c r="X12" s="619"/>
      <c r="Y12" s="620"/>
      <c r="Z12" s="584">
        <f>V12+1</f>
        <v>44197</v>
      </c>
      <c r="AA12" s="585"/>
      <c r="AB12" s="587">
        <f>DATE(YEAR($G$12)+2,MONTH($H$4),DAY($H$4)-1)</f>
        <v>44377</v>
      </c>
      <c r="AC12" s="587"/>
      <c r="AD12" s="588"/>
      <c r="BJ12" s="32"/>
      <c r="BK12" s="32"/>
      <c r="BL12" s="32"/>
      <c r="BM12" s="32"/>
      <c r="BN12" s="32"/>
      <c r="BO12" s="32"/>
      <c r="BP12" s="32"/>
      <c r="BQ12" s="32"/>
      <c r="BR12" s="32"/>
      <c r="BS12" s="32"/>
      <c r="BT12" s="32"/>
      <c r="BU12" s="32"/>
      <c r="BV12" s="32"/>
      <c r="BW12" s="32"/>
      <c r="BX12" s="32"/>
      <c r="BY12" s="32"/>
    </row>
    <row r="13" spans="3:77" ht="22.25" customHeight="1" x14ac:dyDescent="0.4">
      <c r="C13" s="80">
        <v>8</v>
      </c>
      <c r="D13" s="40">
        <v>15</v>
      </c>
      <c r="F13" s="144"/>
      <c r="G13" s="145"/>
      <c r="H13" s="146"/>
      <c r="I13" s="151" t="s">
        <v>8</v>
      </c>
      <c r="J13" s="631">
        <f>1-$T$4</f>
        <v>0.5</v>
      </c>
      <c r="K13" s="631"/>
      <c r="L13" s="152"/>
      <c r="M13" s="146"/>
      <c r="N13" s="153"/>
      <c r="O13" s="154" t="s">
        <v>114</v>
      </c>
      <c r="P13" s="632">
        <f>$T$4</f>
        <v>0.5</v>
      </c>
      <c r="Q13" s="632"/>
      <c r="R13" s="155"/>
      <c r="S13" s="146"/>
      <c r="T13" s="146"/>
      <c r="U13" s="151" t="s">
        <v>8</v>
      </c>
      <c r="V13" s="631">
        <f>1-AB13</f>
        <v>0.5</v>
      </c>
      <c r="W13" s="631"/>
      <c r="X13" s="156"/>
      <c r="Y13" s="157"/>
      <c r="Z13" s="158"/>
      <c r="AA13" s="154" t="s">
        <v>114</v>
      </c>
      <c r="AB13" s="590">
        <f>$T$4</f>
        <v>0.5</v>
      </c>
      <c r="AC13" s="590"/>
      <c r="AD13" s="155"/>
      <c r="BJ13" s="32"/>
      <c r="BK13" s="32"/>
      <c r="BL13" s="32"/>
      <c r="BM13" s="32"/>
      <c r="BN13" s="32"/>
      <c r="BO13" s="32"/>
      <c r="BP13" s="32"/>
      <c r="BQ13" s="32"/>
      <c r="BR13" s="32"/>
      <c r="BS13" s="32"/>
      <c r="BT13" s="32"/>
      <c r="BU13" s="32"/>
      <c r="BV13" s="32"/>
      <c r="BW13" s="32"/>
      <c r="BX13" s="32"/>
      <c r="BY13" s="32"/>
    </row>
    <row r="14" spans="3:77" ht="22.25" customHeight="1" thickBot="1" x14ac:dyDescent="0.45">
      <c r="C14" s="80">
        <v>9</v>
      </c>
      <c r="D14" s="40">
        <v>15</v>
      </c>
      <c r="F14" s="144"/>
      <c r="G14" s="626" t="s">
        <v>63</v>
      </c>
      <c r="H14" s="627"/>
      <c r="I14" s="151" t="s">
        <v>9</v>
      </c>
      <c r="J14" s="159">
        <f>M11</f>
        <v>30</v>
      </c>
      <c r="K14" s="194" t="s">
        <v>113</v>
      </c>
      <c r="L14" s="98">
        <f>$P$15</f>
        <v>15</v>
      </c>
      <c r="M14" s="157"/>
      <c r="N14" s="160"/>
      <c r="O14" s="161" t="s">
        <v>9</v>
      </c>
      <c r="P14" s="162">
        <f>M11</f>
        <v>30</v>
      </c>
      <c r="Q14" s="182" t="s">
        <v>111</v>
      </c>
      <c r="R14" s="181">
        <f>T4</f>
        <v>0.5</v>
      </c>
      <c r="S14" s="146"/>
      <c r="T14" s="163" t="s">
        <v>112</v>
      </c>
      <c r="U14" s="163">
        <f>Y11</f>
        <v>30</v>
      </c>
      <c r="V14" s="164" t="s">
        <v>113</v>
      </c>
      <c r="W14" s="630">
        <f>AB15</f>
        <v>15</v>
      </c>
      <c r="X14" s="630"/>
      <c r="Y14" s="157"/>
      <c r="Z14" s="165"/>
      <c r="AA14" s="161" t="s">
        <v>9</v>
      </c>
      <c r="AB14" s="166">
        <f>Y11</f>
        <v>30</v>
      </c>
      <c r="AC14" s="165" t="s">
        <v>111</v>
      </c>
      <c r="AD14" s="322">
        <f>AB13</f>
        <v>0.5</v>
      </c>
      <c r="BJ14" s="32"/>
      <c r="BK14" s="32"/>
      <c r="BL14" s="32"/>
      <c r="BM14" s="32"/>
      <c r="BN14" s="32"/>
      <c r="BO14" s="32"/>
      <c r="BP14" s="32"/>
      <c r="BQ14" s="32"/>
      <c r="BR14" s="32"/>
      <c r="BS14" s="32"/>
      <c r="BT14" s="32"/>
      <c r="BU14" s="32"/>
      <c r="BV14" s="32"/>
      <c r="BW14" s="32"/>
      <c r="BX14" s="32"/>
      <c r="BY14" s="32"/>
    </row>
    <row r="15" spans="3:77" ht="22.25" customHeight="1" thickBot="1" x14ac:dyDescent="0.45">
      <c r="C15" s="80">
        <v>10</v>
      </c>
      <c r="D15" s="39">
        <v>16</v>
      </c>
      <c r="F15" s="144"/>
      <c r="G15" s="167"/>
      <c r="H15" s="168"/>
      <c r="I15" s="183" t="s">
        <v>128</v>
      </c>
      <c r="J15" s="621">
        <f>J14-L14</f>
        <v>15</v>
      </c>
      <c r="K15" s="622"/>
      <c r="L15" s="168"/>
      <c r="M15" s="168"/>
      <c r="N15" s="169"/>
      <c r="O15" s="170" t="s">
        <v>128</v>
      </c>
      <c r="P15" s="596">
        <f>ROUND(P14*R14,2)</f>
        <v>15</v>
      </c>
      <c r="Q15" s="596"/>
      <c r="R15" s="171"/>
      <c r="S15" s="172" t="s">
        <v>84</v>
      </c>
      <c r="T15" s="173"/>
      <c r="U15" s="612">
        <f>Y11-AB15</f>
        <v>15</v>
      </c>
      <c r="V15" s="612"/>
      <c r="W15" s="174" t="s">
        <v>85</v>
      </c>
      <c r="X15" s="628">
        <f>P15+U15</f>
        <v>30</v>
      </c>
      <c r="Y15" s="629"/>
      <c r="Z15" s="175"/>
      <c r="AA15" s="184" t="s">
        <v>128</v>
      </c>
      <c r="AB15" s="589">
        <f>ROUND(AB14*AD14,2)</f>
        <v>15</v>
      </c>
      <c r="AC15" s="589"/>
      <c r="AD15" s="176"/>
      <c r="BJ15" s="32"/>
      <c r="BK15" s="32"/>
      <c r="BL15" s="32"/>
      <c r="BM15" s="32"/>
      <c r="BN15" s="32"/>
      <c r="BO15" s="32"/>
      <c r="BP15" s="32"/>
      <c r="BQ15" s="32"/>
      <c r="BR15" s="32"/>
      <c r="BS15" s="32"/>
      <c r="BT15" s="32"/>
      <c r="BU15" s="32"/>
      <c r="BV15" s="32"/>
      <c r="BW15" s="32"/>
      <c r="BX15" s="32"/>
      <c r="BY15" s="32"/>
    </row>
    <row r="16" spans="3:77" ht="22.25" customHeight="1" thickTop="1" x14ac:dyDescent="0.4">
      <c r="C16" s="80">
        <v>11</v>
      </c>
      <c r="D16" s="40">
        <v>17</v>
      </c>
      <c r="F16" s="137"/>
      <c r="G16" s="177"/>
      <c r="H16" s="53"/>
      <c r="I16" s="53"/>
      <c r="J16" s="53"/>
      <c r="K16" s="53"/>
      <c r="L16" s="53"/>
      <c r="M16" s="53"/>
      <c r="N16" s="90" t="s">
        <v>118</v>
      </c>
      <c r="O16" s="177"/>
      <c r="P16" s="177"/>
      <c r="Q16" s="177"/>
      <c r="R16" s="177"/>
      <c r="S16" s="53"/>
      <c r="T16" s="53"/>
      <c r="U16" s="53"/>
      <c r="V16" s="53"/>
      <c r="W16" s="53"/>
      <c r="X16" s="53"/>
      <c r="Y16" s="53"/>
      <c r="Z16" s="75" t="s">
        <v>117</v>
      </c>
      <c r="AA16" s="53"/>
      <c r="AB16" s="53"/>
      <c r="AC16" s="53"/>
      <c r="AD16" s="53"/>
      <c r="BJ16" s="32"/>
      <c r="BK16" s="32"/>
      <c r="BL16" s="32"/>
      <c r="BM16" s="32"/>
      <c r="BN16" s="32"/>
      <c r="BO16" s="32"/>
      <c r="BP16" s="32"/>
      <c r="BQ16" s="32"/>
      <c r="BR16" s="32"/>
      <c r="BS16" s="32"/>
      <c r="BT16" s="32"/>
      <c r="BU16" s="32"/>
      <c r="BV16" s="32"/>
      <c r="BW16" s="32"/>
      <c r="BX16" s="32"/>
      <c r="BY16" s="32"/>
    </row>
    <row r="17" spans="3:77" ht="22.25" customHeight="1" x14ac:dyDescent="0.4">
      <c r="C17" s="80">
        <v>12</v>
      </c>
      <c r="D17" s="40">
        <v>18</v>
      </c>
      <c r="F17" s="53"/>
      <c r="G17" s="99" t="s">
        <v>122</v>
      </c>
      <c r="BJ17" s="32"/>
      <c r="BK17" s="32"/>
      <c r="BL17" s="32"/>
      <c r="BM17" s="32"/>
      <c r="BN17" s="32"/>
      <c r="BO17" s="32"/>
      <c r="BP17" s="32"/>
      <c r="BQ17" s="32"/>
      <c r="BR17" s="32"/>
      <c r="BS17" s="32"/>
      <c r="BT17" s="32"/>
      <c r="BU17" s="32"/>
      <c r="BV17" s="32"/>
      <c r="BW17" s="32"/>
      <c r="BX17" s="32"/>
      <c r="BY17" s="32"/>
    </row>
    <row r="18" spans="3:77" ht="22.25" customHeight="1" x14ac:dyDescent="0.4">
      <c r="C18" s="80">
        <v>13</v>
      </c>
      <c r="D18" s="40">
        <v>19</v>
      </c>
      <c r="F18" s="53"/>
      <c r="G18" s="53"/>
      <c r="H18" s="178"/>
      <c r="I18" s="178"/>
      <c r="J18" s="438">
        <f>I$25</f>
        <v>107</v>
      </c>
      <c r="K18" s="438"/>
      <c r="L18" s="53"/>
      <c r="M18" s="178"/>
      <c r="N18" s="531">
        <f>M25</f>
        <v>108</v>
      </c>
      <c r="O18" s="531"/>
      <c r="P18" s="179"/>
      <c r="Q18" s="179"/>
      <c r="R18" s="532">
        <f>Q25</f>
        <v>109</v>
      </c>
      <c r="S18" s="532"/>
      <c r="T18" s="53"/>
      <c r="U18" s="53"/>
      <c r="V18" s="533">
        <f>U25</f>
        <v>110</v>
      </c>
      <c r="W18" s="533"/>
      <c r="X18" s="53"/>
      <c r="Y18" s="53"/>
      <c r="Z18" s="438">
        <f>Y25</f>
        <v>111</v>
      </c>
      <c r="AA18" s="438"/>
      <c r="AB18" s="53"/>
      <c r="AC18" s="53"/>
      <c r="AD18" s="438">
        <f>AC25</f>
        <v>112</v>
      </c>
      <c r="AE18" s="438"/>
      <c r="BJ18" s="32"/>
      <c r="BK18" s="32"/>
      <c r="BL18" s="32"/>
      <c r="BM18" s="32"/>
      <c r="BN18" s="32"/>
      <c r="BO18" s="32"/>
      <c r="BP18" s="32"/>
      <c r="BQ18" s="32"/>
      <c r="BR18" s="32"/>
      <c r="BS18" s="32"/>
      <c r="BT18" s="32"/>
      <c r="BU18" s="32"/>
      <c r="BV18" s="32"/>
      <c r="BW18" s="32"/>
      <c r="BX18" s="32"/>
      <c r="BY18" s="32"/>
    </row>
    <row r="19" spans="3:77" ht="22.25" customHeight="1" x14ac:dyDescent="0.4">
      <c r="C19" s="80">
        <v>14</v>
      </c>
      <c r="D19" s="40">
        <v>20</v>
      </c>
      <c r="F19" s="443" t="s">
        <v>92</v>
      </c>
      <c r="G19" s="443"/>
      <c r="H19" s="444">
        <f>$H$4</f>
        <v>33420</v>
      </c>
      <c r="I19" s="445"/>
      <c r="J19" s="180">
        <f>K19-1</f>
        <v>43281</v>
      </c>
      <c r="K19" s="189">
        <f>DATE(I25+1911,$H$2,$J$2)</f>
        <v>43282</v>
      </c>
      <c r="L19" s="190"/>
      <c r="M19" s="190"/>
      <c r="N19" s="191">
        <f>O19-1</f>
        <v>43646</v>
      </c>
      <c r="O19" s="186">
        <f>DATE(M25+1911,$H$2,$J$2)</f>
        <v>43647</v>
      </c>
      <c r="P19" s="187"/>
      <c r="Q19" s="187"/>
      <c r="R19" s="188">
        <f>S19-1</f>
        <v>44012</v>
      </c>
      <c r="S19" s="189">
        <f>DATE(Q25+1911,$H$2,$J$2)</f>
        <v>44013</v>
      </c>
      <c r="T19" s="190"/>
      <c r="U19" s="190"/>
      <c r="V19" s="191">
        <f>W19-1</f>
        <v>44377</v>
      </c>
      <c r="W19" s="186">
        <f>DATE(U25+1911,$H$2,$J$2)</f>
        <v>44378</v>
      </c>
      <c r="X19" s="187"/>
      <c r="Y19" s="187"/>
      <c r="Z19" s="188">
        <f>AA19-1</f>
        <v>44742</v>
      </c>
      <c r="AA19" s="189">
        <f>DATE(Y25+1911,$H$2,$J$2)</f>
        <v>44743</v>
      </c>
      <c r="AB19" s="190"/>
      <c r="AC19" s="190"/>
      <c r="AD19" s="191">
        <f>AE19-1</f>
        <v>45107</v>
      </c>
      <c r="AE19" s="185">
        <f>DATE(AC25+1911,$H$2,$J$2)</f>
        <v>45108</v>
      </c>
      <c r="BJ19" s="32"/>
      <c r="BK19" s="32"/>
      <c r="BL19" s="32"/>
      <c r="BM19" s="32"/>
      <c r="BN19" s="32"/>
      <c r="BO19" s="32"/>
      <c r="BP19" s="32"/>
      <c r="BQ19" s="32"/>
      <c r="BR19" s="32"/>
      <c r="BS19" s="32"/>
      <c r="BT19" s="32"/>
      <c r="BU19" s="32"/>
      <c r="BV19" s="32"/>
      <c r="BW19" s="32"/>
      <c r="BX19" s="32"/>
      <c r="BY19" s="32"/>
    </row>
    <row r="20" spans="3:77" ht="22.25" customHeight="1" x14ac:dyDescent="0.4">
      <c r="C20" s="80">
        <v>15</v>
      </c>
      <c r="D20" s="40">
        <v>21</v>
      </c>
      <c r="F20" s="422" t="s">
        <v>127</v>
      </c>
      <c r="G20" s="422"/>
      <c r="H20" s="422"/>
      <c r="I20" s="53"/>
      <c r="J20" s="53"/>
      <c r="K20" s="427">
        <f>I25-(YEAR($H$4)-1911)</f>
        <v>27</v>
      </c>
      <c r="L20" s="427"/>
      <c r="M20" s="427"/>
      <c r="N20" s="427"/>
      <c r="O20" s="428">
        <f>M25-(YEAR($H$4)-1911)</f>
        <v>28</v>
      </c>
      <c r="P20" s="428"/>
      <c r="Q20" s="428"/>
      <c r="R20" s="428"/>
      <c r="S20" s="427">
        <f>Q25-(YEAR($H$4)-1911)</f>
        <v>29</v>
      </c>
      <c r="T20" s="427"/>
      <c r="U20" s="427"/>
      <c r="V20" s="427"/>
      <c r="W20" s="428">
        <f>U25-(YEAR($H$4)-1911)</f>
        <v>30</v>
      </c>
      <c r="X20" s="428"/>
      <c r="Y20" s="428"/>
      <c r="Z20" s="428"/>
      <c r="AA20" s="427">
        <f>Y25-(YEAR($H$4)-1911)</f>
        <v>31</v>
      </c>
      <c r="AB20" s="427"/>
      <c r="AC20" s="427"/>
      <c r="AD20" s="427"/>
      <c r="BJ20" s="32"/>
      <c r="BK20" s="32"/>
      <c r="BL20" s="32"/>
      <c r="BM20" s="32"/>
      <c r="BN20" s="32"/>
      <c r="BO20" s="32"/>
      <c r="BP20" s="32"/>
      <c r="BQ20" s="32"/>
      <c r="BR20" s="32"/>
      <c r="BS20" s="32"/>
      <c r="BT20" s="32"/>
      <c r="BU20" s="32"/>
      <c r="BV20" s="32"/>
      <c r="BW20" s="32"/>
      <c r="BX20" s="32"/>
      <c r="BY20" s="32"/>
    </row>
    <row r="21" spans="3:77" ht="22.25" customHeight="1" thickBot="1" x14ac:dyDescent="0.45">
      <c r="C21" s="80">
        <v>16</v>
      </c>
      <c r="D21" s="40">
        <v>22</v>
      </c>
      <c r="F21" s="422" t="s">
        <v>126</v>
      </c>
      <c r="G21" s="422"/>
      <c r="H21" s="431"/>
      <c r="I21" s="613">
        <f>VLOOKUP((K$20-1),特休表,2,0)</f>
        <v>30</v>
      </c>
      <c r="J21" s="614"/>
      <c r="K21" s="434">
        <f>VLOOKUP(K$20,特休表,2,0)</f>
        <v>30</v>
      </c>
      <c r="L21" s="434"/>
      <c r="M21" s="434"/>
      <c r="N21" s="434"/>
      <c r="O21" s="435">
        <f>VLOOKUP(O$20,特休表,2,0)</f>
        <v>30</v>
      </c>
      <c r="P21" s="435"/>
      <c r="Q21" s="435"/>
      <c r="R21" s="435"/>
      <c r="S21" s="434">
        <f>VLOOKUP(S$20,特休表,2,0)</f>
        <v>30</v>
      </c>
      <c r="T21" s="434"/>
      <c r="U21" s="597"/>
      <c r="V21" s="597"/>
      <c r="W21" s="598">
        <f>VLOOKUP(W$20,特休表,2,0)</f>
        <v>30</v>
      </c>
      <c r="X21" s="598"/>
      <c r="Y21" s="435"/>
      <c r="Z21" s="435"/>
      <c r="AA21" s="434">
        <f>VLOOKUP(AA$20,特休表,2,0)</f>
        <v>30</v>
      </c>
      <c r="AB21" s="434"/>
      <c r="AC21" s="434"/>
      <c r="AD21" s="434"/>
      <c r="AE21" s="594">
        <f>VLOOKUP((AA20+1),特休表,2,0)</f>
        <v>30</v>
      </c>
      <c r="AF21" s="595"/>
      <c r="BJ21" s="32"/>
      <c r="BK21" s="32"/>
      <c r="BL21" s="32"/>
      <c r="BM21" s="32"/>
      <c r="BN21" s="32"/>
      <c r="BO21" s="32"/>
      <c r="BP21" s="32"/>
      <c r="BQ21" s="32"/>
      <c r="BR21" s="32"/>
      <c r="BS21" s="32"/>
      <c r="BT21" s="32"/>
      <c r="BU21" s="32"/>
      <c r="BV21" s="32"/>
      <c r="BW21" s="32"/>
      <c r="BX21" s="32"/>
      <c r="BY21" s="32"/>
    </row>
    <row r="22" spans="3:77" ht="22.25" customHeight="1" x14ac:dyDescent="0.4">
      <c r="C22" s="80">
        <v>17</v>
      </c>
      <c r="D22" s="40">
        <v>23</v>
      </c>
      <c r="F22" s="53"/>
      <c r="G22" s="438" t="s">
        <v>123</v>
      </c>
      <c r="H22" s="439"/>
      <c r="I22" s="208">
        <f>DATE(I25+1911,1,1)</f>
        <v>43101</v>
      </c>
      <c r="J22" s="209">
        <f>J19</f>
        <v>43281</v>
      </c>
      <c r="K22" s="203">
        <f>K19</f>
        <v>43282</v>
      </c>
      <c r="L22" s="204">
        <f>DATE(I25+1911,12,31)</f>
        <v>43465</v>
      </c>
      <c r="M22" s="196">
        <f>DATE(M25+1911,1,1)</f>
        <v>43466</v>
      </c>
      <c r="N22" s="197">
        <f>N19</f>
        <v>43646</v>
      </c>
      <c r="O22" s="198">
        <f>O19</f>
        <v>43647</v>
      </c>
      <c r="P22" s="199">
        <f>DATE(M25+1911,12,31)</f>
        <v>43830</v>
      </c>
      <c r="Q22" s="201">
        <f>DATE(Q25+1911,1,1)</f>
        <v>43831</v>
      </c>
      <c r="R22" s="202">
        <f>R19</f>
        <v>44012</v>
      </c>
      <c r="S22" s="203">
        <f>S19</f>
        <v>44013</v>
      </c>
      <c r="T22" s="204">
        <f>DATE(Q25+1911,12,31)</f>
        <v>44196</v>
      </c>
      <c r="U22" s="200">
        <f>DATE(U25+1911,1,1)</f>
        <v>44197</v>
      </c>
      <c r="V22" s="192">
        <f>V19</f>
        <v>44377</v>
      </c>
      <c r="W22" s="193">
        <f>W19</f>
        <v>44378</v>
      </c>
      <c r="X22" s="205">
        <f>DATE(U25+1911,12,31)</f>
        <v>44561</v>
      </c>
      <c r="Y22" s="201">
        <f>DATE(Y25+1911,1,1)</f>
        <v>44562</v>
      </c>
      <c r="Z22" s="202">
        <f>Z19</f>
        <v>44742</v>
      </c>
      <c r="AA22" s="203">
        <f>AA19</f>
        <v>44743</v>
      </c>
      <c r="AB22" s="204">
        <f>DATE(Y25+1911,12,31)</f>
        <v>44926</v>
      </c>
      <c r="AC22" s="196">
        <f>DATE(AC25+1911,1,1)</f>
        <v>44927</v>
      </c>
      <c r="AD22" s="197">
        <f>AD19</f>
        <v>45107</v>
      </c>
      <c r="AE22" s="198">
        <f>AE19</f>
        <v>45108</v>
      </c>
      <c r="AF22" s="199">
        <f>DATE(AC25+1911,12,31)</f>
        <v>45291</v>
      </c>
      <c r="BJ22" s="32"/>
      <c r="BK22" s="32"/>
      <c r="BL22" s="32"/>
      <c r="BM22" s="32"/>
      <c r="BN22" s="32"/>
      <c r="BO22" s="32"/>
      <c r="BP22" s="32"/>
      <c r="BQ22" s="32"/>
      <c r="BR22" s="32"/>
      <c r="BS22" s="32"/>
      <c r="BT22" s="32"/>
      <c r="BU22" s="32"/>
      <c r="BV22" s="32"/>
      <c r="BW22" s="32"/>
      <c r="BX22" s="32"/>
      <c r="BY22" s="32"/>
    </row>
    <row r="23" spans="3:77" ht="22.25" customHeight="1" x14ac:dyDescent="0.4">
      <c r="C23" s="80">
        <v>18</v>
      </c>
      <c r="D23" s="40">
        <v>24</v>
      </c>
      <c r="H23" s="74" t="s">
        <v>130</v>
      </c>
      <c r="I23" s="418">
        <f>$T$4</f>
        <v>0.5</v>
      </c>
      <c r="J23" s="419"/>
      <c r="K23" s="471">
        <f>1-I23</f>
        <v>0.5</v>
      </c>
      <c r="L23" s="472"/>
      <c r="M23" s="421">
        <f>$T$4</f>
        <v>0.5</v>
      </c>
      <c r="N23" s="415"/>
      <c r="O23" s="416">
        <f>1-M23</f>
        <v>0.5</v>
      </c>
      <c r="P23" s="418"/>
      <c r="Q23" s="418">
        <f>$T$4</f>
        <v>0.5</v>
      </c>
      <c r="R23" s="419"/>
      <c r="S23" s="420">
        <f>1-Q23</f>
        <v>0.5</v>
      </c>
      <c r="T23" s="421"/>
      <c r="U23" s="414">
        <f>$T$4</f>
        <v>0.5</v>
      </c>
      <c r="V23" s="415"/>
      <c r="W23" s="416">
        <f>1-U23</f>
        <v>0.5</v>
      </c>
      <c r="X23" s="417"/>
      <c r="Y23" s="418">
        <f>$T$4</f>
        <v>0.5</v>
      </c>
      <c r="Z23" s="419"/>
      <c r="AA23" s="420">
        <f>1-Y23</f>
        <v>0.5</v>
      </c>
      <c r="AB23" s="421"/>
      <c r="AC23" s="421">
        <f>$T$4</f>
        <v>0.5</v>
      </c>
      <c r="AD23" s="415"/>
      <c r="AE23" s="416">
        <f>1-AC23</f>
        <v>0.5</v>
      </c>
      <c r="AF23" s="418"/>
      <c r="BJ23" s="32"/>
      <c r="BK23" s="32"/>
      <c r="BL23" s="32"/>
      <c r="BM23" s="32"/>
      <c r="BN23" s="32"/>
      <c r="BO23" s="32"/>
      <c r="BP23" s="32"/>
      <c r="BQ23" s="32"/>
      <c r="BR23" s="32"/>
      <c r="BS23" s="32"/>
      <c r="BT23" s="32"/>
      <c r="BU23" s="32"/>
      <c r="BV23" s="32"/>
      <c r="BW23" s="32"/>
      <c r="BX23" s="32"/>
      <c r="BY23" s="32"/>
    </row>
    <row r="24" spans="3:77" ht="22.25" customHeight="1" x14ac:dyDescent="0.4">
      <c r="C24" s="80">
        <v>19</v>
      </c>
      <c r="D24" s="40">
        <v>25</v>
      </c>
      <c r="F24" s="422" t="s">
        <v>129</v>
      </c>
      <c r="G24" s="422"/>
      <c r="H24" s="422"/>
      <c r="I24" s="423">
        <f>ROUND(I21*I23,2)</f>
        <v>15</v>
      </c>
      <c r="J24" s="424"/>
      <c r="K24" s="389">
        <f>K21-M24</f>
        <v>15</v>
      </c>
      <c r="L24" s="390"/>
      <c r="M24" s="391">
        <f>ROUND(K21*M23,2)</f>
        <v>15</v>
      </c>
      <c r="N24" s="392"/>
      <c r="O24" s="442">
        <f>O21-Q24</f>
        <v>15</v>
      </c>
      <c r="P24" s="423"/>
      <c r="Q24" s="600">
        <f>ROUND(O21*Q23,2)</f>
        <v>15</v>
      </c>
      <c r="R24" s="601"/>
      <c r="S24" s="602">
        <f>S21-U24</f>
        <v>15</v>
      </c>
      <c r="T24" s="603"/>
      <c r="U24" s="610">
        <f>ROUND(S21*U23,2)</f>
        <v>15</v>
      </c>
      <c r="V24" s="392"/>
      <c r="W24" s="442">
        <f>W21-Y24</f>
        <v>15</v>
      </c>
      <c r="X24" s="611"/>
      <c r="Y24" s="423">
        <f>ROUND(W21*Y23,2)</f>
        <v>15</v>
      </c>
      <c r="Z24" s="424"/>
      <c r="AA24" s="599">
        <f>AA21-AC24</f>
        <v>15</v>
      </c>
      <c r="AB24" s="391"/>
      <c r="AC24" s="391">
        <f>ROUND(AA21*AC23,2)</f>
        <v>15</v>
      </c>
      <c r="AD24" s="392"/>
      <c r="AE24" s="442">
        <f>VLOOKUP((AC$27),特休,2)-ROUND(VLOOKUP((AC$27),特休,2)*$T$4,2)</f>
        <v>15</v>
      </c>
      <c r="AF24" s="423"/>
      <c r="BJ24" s="32"/>
      <c r="BK24" s="32"/>
      <c r="BL24" s="32"/>
      <c r="BM24" s="32"/>
      <c r="BN24" s="32"/>
      <c r="BO24" s="32"/>
      <c r="BP24" s="32"/>
      <c r="BQ24" s="32"/>
      <c r="BR24" s="32"/>
      <c r="BS24" s="32"/>
      <c r="BT24" s="32"/>
      <c r="BU24" s="32"/>
      <c r="BV24" s="32"/>
      <c r="BW24" s="32"/>
      <c r="BX24" s="32"/>
      <c r="BY24" s="32"/>
    </row>
    <row r="25" spans="3:77" ht="22.25" customHeight="1" x14ac:dyDescent="0.4">
      <c r="C25" s="80">
        <v>20</v>
      </c>
      <c r="D25" s="40">
        <v>26</v>
      </c>
      <c r="F25" s="53"/>
      <c r="G25" s="422" t="s">
        <v>125</v>
      </c>
      <c r="H25" s="539"/>
      <c r="I25" s="451">
        <f>M2-2</f>
        <v>107</v>
      </c>
      <c r="J25" s="452"/>
      <c r="K25" s="453"/>
      <c r="L25" s="454"/>
      <c r="M25" s="403">
        <f>I25+1</f>
        <v>108</v>
      </c>
      <c r="N25" s="404"/>
      <c r="O25" s="404"/>
      <c r="P25" s="405"/>
      <c r="Q25" s="551">
        <f>M25+1</f>
        <v>109</v>
      </c>
      <c r="R25" s="552"/>
      <c r="S25" s="552"/>
      <c r="T25" s="553"/>
      <c r="U25" s="554">
        <f>Q25+1</f>
        <v>110</v>
      </c>
      <c r="V25" s="404"/>
      <c r="W25" s="404"/>
      <c r="X25" s="555"/>
      <c r="Y25" s="556">
        <f>U25+1</f>
        <v>111</v>
      </c>
      <c r="Z25" s="557"/>
      <c r="AA25" s="558"/>
      <c r="AB25" s="559"/>
      <c r="AC25" s="403">
        <f>Y25+1</f>
        <v>112</v>
      </c>
      <c r="AD25" s="404"/>
      <c r="AE25" s="404"/>
      <c r="AF25" s="405"/>
      <c r="BJ25" s="32"/>
      <c r="BK25" s="32"/>
      <c r="BL25" s="32"/>
      <c r="BM25" s="32"/>
      <c r="BN25" s="32"/>
      <c r="BO25" s="32"/>
      <c r="BP25" s="32"/>
      <c r="BQ25" s="32"/>
      <c r="BR25" s="32"/>
      <c r="BS25" s="32"/>
      <c r="BT25" s="32"/>
      <c r="BU25" s="32"/>
      <c r="BV25" s="32"/>
      <c r="BW25" s="32"/>
      <c r="BX25" s="32"/>
      <c r="BY25" s="32"/>
    </row>
    <row r="26" spans="3:77" ht="22.25" customHeight="1" x14ac:dyDescent="0.4">
      <c r="C26" s="80">
        <v>21</v>
      </c>
      <c r="D26" s="40">
        <v>27</v>
      </c>
      <c r="F26" s="422" t="s">
        <v>124</v>
      </c>
      <c r="G26" s="422"/>
      <c r="H26" s="431"/>
      <c r="I26" s="560">
        <f>I24+K24</f>
        <v>30</v>
      </c>
      <c r="J26" s="561"/>
      <c r="K26" s="561"/>
      <c r="L26" s="562"/>
      <c r="M26" s="563">
        <f>M24+O24</f>
        <v>30</v>
      </c>
      <c r="N26" s="564"/>
      <c r="O26" s="564"/>
      <c r="P26" s="565"/>
      <c r="Q26" s="566">
        <f>Q24+S24</f>
        <v>30</v>
      </c>
      <c r="R26" s="567"/>
      <c r="S26" s="567"/>
      <c r="T26" s="568"/>
      <c r="U26" s="569">
        <f>U24+W24</f>
        <v>30</v>
      </c>
      <c r="V26" s="564"/>
      <c r="W26" s="564"/>
      <c r="X26" s="570"/>
      <c r="Y26" s="560">
        <f>Y24+AA24</f>
        <v>30</v>
      </c>
      <c r="Z26" s="561"/>
      <c r="AA26" s="561"/>
      <c r="AB26" s="562"/>
      <c r="AC26" s="563">
        <f>AC24+AE24</f>
        <v>30</v>
      </c>
      <c r="AD26" s="564"/>
      <c r="AE26" s="564"/>
      <c r="AF26" s="565"/>
      <c r="BJ26" s="32"/>
      <c r="BK26" s="32"/>
      <c r="BL26" s="32"/>
      <c r="BM26" s="32"/>
      <c r="BN26" s="32"/>
      <c r="BO26" s="32"/>
      <c r="BP26" s="32"/>
      <c r="BQ26" s="32"/>
      <c r="BR26" s="32"/>
      <c r="BS26" s="32"/>
      <c r="BT26" s="32"/>
      <c r="BU26" s="32"/>
      <c r="BV26" s="32"/>
      <c r="BW26" s="32"/>
      <c r="BX26" s="32"/>
      <c r="BY26" s="32"/>
    </row>
    <row r="27" spans="3:77" ht="22.25" customHeight="1" thickBot="1" x14ac:dyDescent="0.45">
      <c r="C27" s="80">
        <v>22</v>
      </c>
      <c r="D27" s="40">
        <v>28</v>
      </c>
      <c r="F27" s="422" t="s">
        <v>125</v>
      </c>
      <c r="G27" s="422"/>
      <c r="H27" s="431"/>
      <c r="I27" s="540">
        <f>I25-$F$2</f>
        <v>27</v>
      </c>
      <c r="J27" s="541"/>
      <c r="K27" s="541"/>
      <c r="L27" s="542"/>
      <c r="M27" s="543">
        <f>M25-$F$2</f>
        <v>28</v>
      </c>
      <c r="N27" s="544"/>
      <c r="O27" s="544"/>
      <c r="P27" s="545"/>
      <c r="Q27" s="546">
        <f>Q25-$F$2</f>
        <v>29</v>
      </c>
      <c r="R27" s="547"/>
      <c r="S27" s="547"/>
      <c r="T27" s="548"/>
      <c r="U27" s="607">
        <f>U25-$F$2</f>
        <v>30</v>
      </c>
      <c r="V27" s="608"/>
      <c r="W27" s="608"/>
      <c r="X27" s="609"/>
      <c r="Y27" s="540">
        <f>Y25-$F$2</f>
        <v>31</v>
      </c>
      <c r="Z27" s="541"/>
      <c r="AA27" s="541"/>
      <c r="AB27" s="542"/>
      <c r="AC27" s="543">
        <f>AC25-$F$2</f>
        <v>32</v>
      </c>
      <c r="AD27" s="544"/>
      <c r="AE27" s="544"/>
      <c r="AF27" s="545"/>
      <c r="BJ27" s="32"/>
      <c r="BK27" s="32"/>
      <c r="BL27" s="32"/>
      <c r="BM27" s="32"/>
      <c r="BN27" s="32"/>
      <c r="BO27" s="32"/>
      <c r="BP27" s="32"/>
      <c r="BQ27" s="32"/>
      <c r="BR27" s="32"/>
      <c r="BS27" s="32"/>
      <c r="BT27" s="32"/>
      <c r="BU27" s="32"/>
      <c r="BV27" s="32"/>
      <c r="BW27" s="32"/>
      <c r="BX27" s="32"/>
      <c r="BY27" s="32"/>
    </row>
    <row r="28" spans="3:77" ht="22.25" customHeight="1" x14ac:dyDescent="0.4">
      <c r="C28" s="80">
        <v>23</v>
      </c>
      <c r="D28" s="40">
        <v>29</v>
      </c>
      <c r="I28" s="91" t="s">
        <v>132</v>
      </c>
      <c r="K28" s="32" t="s">
        <v>133</v>
      </c>
      <c r="M28" s="91" t="s">
        <v>132</v>
      </c>
      <c r="O28" s="32" t="s">
        <v>133</v>
      </c>
      <c r="Q28" s="91" t="s">
        <v>132</v>
      </c>
      <c r="S28" s="32" t="s">
        <v>133</v>
      </c>
      <c r="U28" s="91" t="s">
        <v>132</v>
      </c>
      <c r="W28" s="32" t="s">
        <v>133</v>
      </c>
      <c r="Y28" s="91" t="s">
        <v>132</v>
      </c>
      <c r="AA28" s="32" t="s">
        <v>133</v>
      </c>
      <c r="AC28" s="91" t="s">
        <v>132</v>
      </c>
      <c r="AE28" s="32" t="s">
        <v>133</v>
      </c>
    </row>
    <row r="29" spans="3:77" ht="22.25" customHeight="1" x14ac:dyDescent="0.4">
      <c r="C29" s="80">
        <v>24</v>
      </c>
      <c r="D29" s="40">
        <v>30</v>
      </c>
      <c r="N29"/>
      <c r="O29"/>
      <c r="P29"/>
      <c r="Q29"/>
      <c r="R29"/>
      <c r="S29"/>
      <c r="T29"/>
      <c r="U29"/>
      <c r="V29"/>
      <c r="W29"/>
      <c r="X29"/>
      <c r="Y29"/>
      <c r="Z29"/>
      <c r="AA29"/>
      <c r="AB29"/>
      <c r="AC29"/>
      <c r="AD29"/>
      <c r="AE29"/>
      <c r="AF29"/>
      <c r="AG29"/>
      <c r="AH29"/>
    </row>
    <row r="30" spans="3:77" ht="22.25" customHeight="1" x14ac:dyDescent="0.4">
      <c r="C30" s="80">
        <v>25</v>
      </c>
      <c r="D30" s="39">
        <v>30</v>
      </c>
      <c r="N30"/>
      <c r="O30"/>
      <c r="P30"/>
      <c r="Q30"/>
      <c r="R30"/>
      <c r="S30"/>
      <c r="T30"/>
      <c r="U30"/>
      <c r="V30"/>
      <c r="W30"/>
      <c r="X30"/>
      <c r="Y30"/>
      <c r="Z30"/>
      <c r="AA30"/>
      <c r="AB30"/>
      <c r="AC30"/>
      <c r="AD30"/>
      <c r="AE30"/>
      <c r="AF30"/>
      <c r="AG30"/>
      <c r="AH30"/>
    </row>
    <row r="31" spans="3:77" ht="22.25" customHeight="1" x14ac:dyDescent="0.4">
      <c r="C31" s="80">
        <v>26</v>
      </c>
      <c r="D31" s="39">
        <v>30</v>
      </c>
      <c r="N31"/>
      <c r="O31"/>
      <c r="P31"/>
      <c r="Q31"/>
      <c r="R31"/>
      <c r="S31"/>
      <c r="T31"/>
      <c r="U31"/>
      <c r="V31"/>
      <c r="W31"/>
      <c r="X31"/>
      <c r="Y31"/>
      <c r="Z31"/>
      <c r="AA31"/>
      <c r="AB31"/>
      <c r="AC31"/>
      <c r="AD31"/>
      <c r="AE31"/>
      <c r="AF31"/>
      <c r="AG31"/>
      <c r="AH31"/>
    </row>
    <row r="32" spans="3:77" ht="22.25" customHeight="1" x14ac:dyDescent="0.4">
      <c r="C32" s="80">
        <v>27</v>
      </c>
      <c r="D32" s="39">
        <v>30</v>
      </c>
      <c r="N32"/>
      <c r="O32"/>
      <c r="P32"/>
      <c r="Q32"/>
      <c r="R32"/>
      <c r="S32"/>
      <c r="T32"/>
      <c r="U32"/>
      <c r="V32"/>
      <c r="W32"/>
      <c r="X32"/>
      <c r="Y32"/>
      <c r="Z32"/>
      <c r="AA32"/>
      <c r="AB32"/>
      <c r="AC32"/>
      <c r="AD32"/>
      <c r="AE32"/>
      <c r="AF32"/>
      <c r="AG32"/>
      <c r="AH32"/>
    </row>
    <row r="33" spans="3:34" ht="22.25" customHeight="1" x14ac:dyDescent="0.4">
      <c r="C33" s="80">
        <v>28</v>
      </c>
      <c r="D33" s="39">
        <v>30</v>
      </c>
      <c r="N33"/>
      <c r="O33"/>
      <c r="P33"/>
      <c r="Q33"/>
      <c r="R33"/>
      <c r="S33"/>
      <c r="T33"/>
      <c r="U33"/>
      <c r="V33"/>
      <c r="W33"/>
      <c r="X33"/>
      <c r="Y33"/>
      <c r="Z33"/>
      <c r="AA33"/>
      <c r="AB33"/>
      <c r="AC33"/>
      <c r="AD33"/>
      <c r="AE33"/>
      <c r="AF33"/>
      <c r="AG33"/>
      <c r="AH33"/>
    </row>
    <row r="34" spans="3:34" ht="22.25" customHeight="1" x14ac:dyDescent="0.4">
      <c r="C34" s="80">
        <v>29</v>
      </c>
      <c r="D34" s="39">
        <v>30</v>
      </c>
    </row>
    <row r="35" spans="3:34" ht="22.25" customHeight="1" x14ac:dyDescent="0.4">
      <c r="C35" s="80">
        <v>30</v>
      </c>
      <c r="D35" s="39">
        <v>30</v>
      </c>
    </row>
    <row r="36" spans="3:34" ht="22.25" customHeight="1" x14ac:dyDescent="0.4">
      <c r="C36" s="80">
        <v>31</v>
      </c>
      <c r="D36" s="39">
        <v>30</v>
      </c>
    </row>
    <row r="37" spans="3:34" ht="22.25" customHeight="1" x14ac:dyDescent="0.4">
      <c r="C37" s="80">
        <v>32</v>
      </c>
      <c r="D37" s="39">
        <v>30</v>
      </c>
    </row>
    <row r="38" spans="3:34" ht="22.25" customHeight="1" x14ac:dyDescent="0.4">
      <c r="C38" s="80">
        <v>33</v>
      </c>
      <c r="D38" s="39">
        <v>30</v>
      </c>
    </row>
    <row r="39" spans="3:34" ht="22.25" customHeight="1" x14ac:dyDescent="0.4">
      <c r="C39" s="80">
        <v>34</v>
      </c>
      <c r="D39" s="39">
        <v>30</v>
      </c>
    </row>
    <row r="40" spans="3:34" ht="22.25" customHeight="1" x14ac:dyDescent="0.4">
      <c r="C40" s="80">
        <v>35</v>
      </c>
      <c r="D40" s="39">
        <v>30</v>
      </c>
    </row>
    <row r="41" spans="3:34" ht="22.25" customHeight="1" x14ac:dyDescent="0.4">
      <c r="C41" s="80">
        <v>36</v>
      </c>
      <c r="D41" s="39">
        <v>30</v>
      </c>
    </row>
    <row r="42" spans="3:34" ht="22.25" customHeight="1" x14ac:dyDescent="0.4">
      <c r="C42" s="80">
        <v>37</v>
      </c>
      <c r="D42" s="39">
        <v>30</v>
      </c>
    </row>
    <row r="43" spans="3:34" ht="22.25" customHeight="1" x14ac:dyDescent="0.4">
      <c r="C43" s="80">
        <v>38</v>
      </c>
      <c r="D43" s="39">
        <v>30</v>
      </c>
    </row>
    <row r="44" spans="3:34" ht="22.25" customHeight="1" x14ac:dyDescent="0.4">
      <c r="C44" s="80">
        <v>39</v>
      </c>
      <c r="D44" s="39">
        <v>30</v>
      </c>
    </row>
    <row r="45" spans="3:34" ht="22.25" customHeight="1" x14ac:dyDescent="0.4">
      <c r="C45" s="80">
        <v>40</v>
      </c>
      <c r="D45" s="39">
        <v>30</v>
      </c>
    </row>
    <row r="46" spans="3:34" ht="22.25" customHeight="1" x14ac:dyDescent="0.4">
      <c r="C46" s="80">
        <v>41</v>
      </c>
      <c r="D46" s="39">
        <v>30</v>
      </c>
    </row>
    <row r="47" spans="3:34" ht="22.25" customHeight="1" x14ac:dyDescent="0.4">
      <c r="C47" s="80">
        <v>42</v>
      </c>
      <c r="D47" s="39">
        <v>30</v>
      </c>
    </row>
    <row r="48" spans="3:34" ht="22.25" customHeight="1" x14ac:dyDescent="0.4">
      <c r="C48" s="80">
        <v>43</v>
      </c>
      <c r="D48" s="39">
        <v>30</v>
      </c>
    </row>
    <row r="49" spans="3:4" ht="22.25" customHeight="1" x14ac:dyDescent="0.4">
      <c r="C49" s="80">
        <v>44</v>
      </c>
      <c r="D49" s="39">
        <v>30</v>
      </c>
    </row>
    <row r="50" spans="3:4" ht="22.25" customHeight="1" x14ac:dyDescent="0.4">
      <c r="C50" s="80">
        <v>45</v>
      </c>
      <c r="D50" s="39">
        <v>30</v>
      </c>
    </row>
    <row r="51" spans="3:4" ht="22.25" customHeight="1" x14ac:dyDescent="0.4">
      <c r="C51" s="80">
        <v>46</v>
      </c>
      <c r="D51" s="39">
        <v>30</v>
      </c>
    </row>
  </sheetData>
  <sheetProtection algorithmName="SHA-512" hashValue="pJ/PU3mqe/Sqx/sOpRSVEZzgaNXssn/HnPFRXRhrkwhptH4KNaIsFRYMOj884gJNxDjxSvcvVEF9iDoXmMhJlg==" saltValue="/PbCLswFHVjwPPy1BOUp4w==" spinCount="100000" sheet="1" objects="1" scenarios="1" formatCells="0" autoFilter="0"/>
  <mergeCells count="135">
    <mergeCell ref="AM1:AN2"/>
    <mergeCell ref="AF2:AJ2"/>
    <mergeCell ref="F1:K1"/>
    <mergeCell ref="M1:O1"/>
    <mergeCell ref="Z2:AA2"/>
    <mergeCell ref="AB2:AE2"/>
    <mergeCell ref="T5:U5"/>
    <mergeCell ref="X4:Y4"/>
    <mergeCell ref="AD4:AE4"/>
    <mergeCell ref="AB4:AC4"/>
    <mergeCell ref="P5:Q5"/>
    <mergeCell ref="Z4:AA4"/>
    <mergeCell ref="F2:G2"/>
    <mergeCell ref="H2:I2"/>
    <mergeCell ref="J2:K2"/>
    <mergeCell ref="T2:Y2"/>
    <mergeCell ref="F4:G4"/>
    <mergeCell ref="H4:I4"/>
    <mergeCell ref="J4:K4"/>
    <mergeCell ref="F3:G3"/>
    <mergeCell ref="H3:I3"/>
    <mergeCell ref="J3:K3"/>
    <mergeCell ref="M3:O3"/>
    <mergeCell ref="M4:O4"/>
    <mergeCell ref="J5:K5"/>
    <mergeCell ref="G12:H12"/>
    <mergeCell ref="J12:M12"/>
    <mergeCell ref="N12:O12"/>
    <mergeCell ref="V12:Y12"/>
    <mergeCell ref="T3:U3"/>
    <mergeCell ref="V3:W3"/>
    <mergeCell ref="Z9:AA9"/>
    <mergeCell ref="J15:K15"/>
    <mergeCell ref="H5:I5"/>
    <mergeCell ref="T6:V6"/>
    <mergeCell ref="R4:S4"/>
    <mergeCell ref="T4:U4"/>
    <mergeCell ref="V4:W4"/>
    <mergeCell ref="G14:H14"/>
    <mergeCell ref="L10:M10"/>
    <mergeCell ref="N10:O10"/>
    <mergeCell ref="W10:Y10"/>
    <mergeCell ref="X15:Y15"/>
    <mergeCell ref="W14:X14"/>
    <mergeCell ref="J13:K13"/>
    <mergeCell ref="P13:Q13"/>
    <mergeCell ref="V13:W13"/>
    <mergeCell ref="N7:R7"/>
    <mergeCell ref="I9:K9"/>
    <mergeCell ref="L9:M9"/>
    <mergeCell ref="N9:O9"/>
    <mergeCell ref="X9:Y9"/>
    <mergeCell ref="Z10:AA10"/>
    <mergeCell ref="I27:L27"/>
    <mergeCell ref="M27:P27"/>
    <mergeCell ref="Q27:T27"/>
    <mergeCell ref="U27:X27"/>
    <mergeCell ref="Y27:AB27"/>
    <mergeCell ref="U23:V23"/>
    <mergeCell ref="W23:X23"/>
    <mergeCell ref="Y23:Z23"/>
    <mergeCell ref="AA23:AB23"/>
    <mergeCell ref="U24:V24"/>
    <mergeCell ref="W24:X24"/>
    <mergeCell ref="U25:X25"/>
    <mergeCell ref="Y25:AB25"/>
    <mergeCell ref="I25:L25"/>
    <mergeCell ref="M25:P25"/>
    <mergeCell ref="Q25:T25"/>
    <mergeCell ref="I24:J24"/>
    <mergeCell ref="U15:V15"/>
    <mergeCell ref="I21:J21"/>
    <mergeCell ref="G22:H22"/>
    <mergeCell ref="F26:H26"/>
    <mergeCell ref="F24:H24"/>
    <mergeCell ref="O23:P23"/>
    <mergeCell ref="Q23:R23"/>
    <mergeCell ref="S23:T23"/>
    <mergeCell ref="AC24:AD24"/>
    <mergeCell ref="AC25:AF25"/>
    <mergeCell ref="K24:L24"/>
    <mergeCell ref="M24:N24"/>
    <mergeCell ref="O24:P24"/>
    <mergeCell ref="Q24:R24"/>
    <mergeCell ref="S24:T24"/>
    <mergeCell ref="I26:L26"/>
    <mergeCell ref="M26:P26"/>
    <mergeCell ref="Q26:T26"/>
    <mergeCell ref="U26:X26"/>
    <mergeCell ref="AC23:AD23"/>
    <mergeCell ref="AE23:AF23"/>
    <mergeCell ref="AC27:AF27"/>
    <mergeCell ref="AC26:AF26"/>
    <mergeCell ref="AE24:AF24"/>
    <mergeCell ref="AD18:AE18"/>
    <mergeCell ref="I23:J23"/>
    <mergeCell ref="O21:R21"/>
    <mergeCell ref="F20:H20"/>
    <mergeCell ref="O20:R20"/>
    <mergeCell ref="S20:V20"/>
    <mergeCell ref="W20:Z20"/>
    <mergeCell ref="S21:V21"/>
    <mergeCell ref="W21:Z21"/>
    <mergeCell ref="K21:N21"/>
    <mergeCell ref="K20:N20"/>
    <mergeCell ref="F27:H27"/>
    <mergeCell ref="F21:H21"/>
    <mergeCell ref="F19:G19"/>
    <mergeCell ref="H19:I19"/>
    <mergeCell ref="K23:L23"/>
    <mergeCell ref="M23:N23"/>
    <mergeCell ref="Y24:Z24"/>
    <mergeCell ref="AA24:AB24"/>
    <mergeCell ref="Y26:AB26"/>
    <mergeCell ref="G25:H25"/>
    <mergeCell ref="AE21:AF21"/>
    <mergeCell ref="J18:K18"/>
    <mergeCell ref="N18:O18"/>
    <mergeCell ref="Z18:AA18"/>
    <mergeCell ref="V18:W18"/>
    <mergeCell ref="R18:S18"/>
    <mergeCell ref="AA20:AD20"/>
    <mergeCell ref="AA21:AD21"/>
    <mergeCell ref="P15:Q15"/>
    <mergeCell ref="Z12:AA12"/>
    <mergeCell ref="S12:T12"/>
    <mergeCell ref="AB12:AD12"/>
    <mergeCell ref="X3:Y3"/>
    <mergeCell ref="AD3:AE3"/>
    <mergeCell ref="AB3:AC3"/>
    <mergeCell ref="Z3:AA3"/>
    <mergeCell ref="R3:S3"/>
    <mergeCell ref="AB15:AC15"/>
    <mergeCell ref="AB13:AC13"/>
    <mergeCell ref="S7:Y7"/>
  </mergeCells>
  <phoneticPr fontId="1" type="noConversion"/>
  <pageMargins left="0.7" right="0.7" top="0.75" bottom="0.75" header="0.3" footer="0.3"/>
  <pageSetup paperSize="9" orientation="portrait" horizontalDpi="4294967292" verticalDpi="12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800000"/>
  </sheetPr>
  <dimension ref="C1:BY37"/>
  <sheetViews>
    <sheetView showGridLines="0" topLeftCell="B1" zoomScale="75" zoomScaleNormal="75" workbookViewId="0">
      <pane ySplit="4" topLeftCell="A23" activePane="bottomLeft" state="frozen"/>
      <selection activeCell="B1" sqref="B1"/>
      <selection pane="bottomLeft" activeCell="AE23" sqref="AE23:AF23"/>
    </sheetView>
  </sheetViews>
  <sheetFormatPr defaultColWidth="8.90625" defaultRowHeight="22.25" customHeight="1" x14ac:dyDescent="0.4"/>
  <cols>
    <col min="1" max="1" width="0" style="1" hidden="1" customWidth="1"/>
    <col min="2" max="2" width="1.36328125" style="1" customWidth="1"/>
    <col min="3" max="3" width="6" style="1" customWidth="1"/>
    <col min="4" max="4" width="7.90625" style="1" customWidth="1"/>
    <col min="5" max="5" width="1.08984375" style="1" customWidth="1"/>
    <col min="6" max="6" width="8" style="1" customWidth="1"/>
    <col min="7" max="31" width="7.90625" style="1" customWidth="1"/>
    <col min="32" max="32" width="12" style="1" customWidth="1"/>
    <col min="33" max="33" width="9.36328125" style="1" customWidth="1"/>
    <col min="34" max="34" width="8.54296875" style="1" customWidth="1"/>
    <col min="35" max="35" width="7" customWidth="1"/>
    <col min="36" max="36" width="8.08984375" customWidth="1"/>
    <col min="37" max="38" width="7.90625" customWidth="1"/>
    <col min="39" max="39" width="12.90625" customWidth="1"/>
    <col min="40" max="40" width="12.453125" customWidth="1"/>
    <col min="41" max="44" width="7.90625" customWidth="1"/>
    <col min="45" max="49" width="7.08984375" customWidth="1"/>
    <col min="51" max="61" width="8.90625" style="1"/>
    <col min="78" max="16384" width="8.90625" style="1"/>
  </cols>
  <sheetData>
    <row r="1" spans="3:77" ht="22.25" customHeight="1" thickBot="1" x14ac:dyDescent="0.45">
      <c r="F1" s="663" t="s">
        <v>155</v>
      </c>
      <c r="G1" s="664"/>
      <c r="H1" s="664"/>
      <c r="I1" s="664"/>
      <c r="J1" s="664"/>
      <c r="K1" s="665"/>
      <c r="M1" s="666" t="s">
        <v>156</v>
      </c>
      <c r="N1" s="667"/>
      <c r="O1" s="668"/>
      <c r="W1" s="280" t="s">
        <v>239</v>
      </c>
      <c r="X1" s="288">
        <f>IF(OR(V4=0,J4=0),0,ROUND(VLOOKUP(IF($V4&gt;$J$5,$J$5,$V4),特休表,2,0)*$T4,5))+IF(OR(V4=0,J4=0),0,VLOOKUP(IF($V4&gt;$J$5,$J$5,$V4-1),特休表,2,0)-ROUND(VLOOKUP(IF($V4&gt;$J$5,$J$5,$V4-1),特休表,2,0)*$T4,5))</f>
        <v>30</v>
      </c>
      <c r="Y1" s="288"/>
      <c r="Z1" s="280" t="s">
        <v>239</v>
      </c>
      <c r="AA1" s="288">
        <f>IF(OR(V4=0,J4=0),0,ROUND(VLOOKUP(IF($V4&gt;$J$5,$J$5,$V4),特休表,2,0)*$T4,5))+IF(OR(V4=0,J4=0),0,VLOOKUP(IF($V4&gt;$J$5,$J$5,$V4-1),特休表,2,0)-ROUND(VLOOKUP(IF($V4&gt;$J$5,$J$5,$V4-1),特休表,2,0)*$T4,5))</f>
        <v>30</v>
      </c>
      <c r="AB1" s="280" t="s">
        <v>239</v>
      </c>
      <c r="AC1" s="280">
        <f>IF(V4=0,0,VLOOKUP(IF($V4&gt;$J$5,$J$5,$V4-1),特休表,2,0)-VLOOKUP(IF(($V4-1)&gt;$J$5,$J$5,($V4-1)),特休表,2,0)*$T4)</f>
        <v>15.080645161290322</v>
      </c>
      <c r="AD1" s="280" t="s">
        <v>239</v>
      </c>
      <c r="AE1" s="288">
        <f>VLOOKUP(($V$4),特休表,2)*T4</f>
        <v>14.919354838709678</v>
      </c>
      <c r="AF1" s="280" t="s">
        <v>239</v>
      </c>
      <c r="AG1" s="355">
        <f>IF(F2&lt;M2-1,0,1)*ROUND(3-3*IF((MONTH($H$4)-1+(DAY($H$4)-1)/DAY(EOMONTH(($H$4-1),0)))/6&gt;=1,1,(MONTH($H$4)-1+(DAY($H$4)-1)/DAY(EOMONTH(($H$4-1),0)))/6),4)</f>
        <v>0</v>
      </c>
      <c r="AM1" s="671" t="s">
        <v>1319</v>
      </c>
      <c r="AN1" s="671"/>
    </row>
    <row r="2" spans="3:77" ht="34.75" customHeight="1" thickTop="1" thickBot="1" x14ac:dyDescent="0.45">
      <c r="C2" s="11" t="s">
        <v>157</v>
      </c>
      <c r="D2" s="11" t="s">
        <v>68</v>
      </c>
      <c r="F2" s="446">
        <v>80</v>
      </c>
      <c r="G2" s="447"/>
      <c r="H2" s="509">
        <v>7</v>
      </c>
      <c r="I2" s="509"/>
      <c r="J2" s="510">
        <v>2</v>
      </c>
      <c r="K2" s="511"/>
      <c r="M2" s="272">
        <v>109</v>
      </c>
      <c r="N2" s="273">
        <v>12</v>
      </c>
      <c r="O2" s="274">
        <v>31</v>
      </c>
      <c r="P2"/>
      <c r="Q2"/>
      <c r="R2" s="479" t="s">
        <v>158</v>
      </c>
      <c r="S2" s="479"/>
      <c r="T2" s="479"/>
      <c r="U2" s="479"/>
      <c r="V2" s="479"/>
      <c r="W2" s="479"/>
      <c r="X2" s="479"/>
      <c r="Y2" s="479"/>
      <c r="Z2" s="505" t="s">
        <v>159</v>
      </c>
      <c r="AA2" s="506"/>
      <c r="AB2" s="662" t="s">
        <v>1320</v>
      </c>
      <c r="AC2" s="642"/>
      <c r="AD2" s="642"/>
      <c r="AE2" s="643"/>
      <c r="AF2" s="572" t="s">
        <v>1321</v>
      </c>
      <c r="AG2" s="572"/>
      <c r="AH2" s="573"/>
      <c r="AI2" s="573"/>
      <c r="AJ2" s="572"/>
      <c r="AK2" s="1"/>
      <c r="AL2" s="1"/>
      <c r="AM2" s="671"/>
      <c r="AN2" s="671"/>
      <c r="BJ2" s="1"/>
      <c r="BK2" s="1"/>
      <c r="BL2" s="1"/>
      <c r="BM2" s="1"/>
      <c r="BN2" s="1"/>
      <c r="BO2" s="1"/>
      <c r="BP2" s="1"/>
      <c r="BQ2" s="1"/>
      <c r="BR2" s="1"/>
      <c r="BS2" s="1"/>
      <c r="BT2" s="1"/>
      <c r="BU2" s="1"/>
      <c r="BV2" s="1"/>
      <c r="BW2" s="1"/>
      <c r="BX2" s="1"/>
      <c r="BY2" s="1"/>
    </row>
    <row r="3" spans="3:77" ht="46.75" customHeight="1" thickTop="1" thickBot="1" x14ac:dyDescent="0.45">
      <c r="C3" s="12" t="s">
        <v>0</v>
      </c>
      <c r="D3" s="13" t="s">
        <v>160</v>
      </c>
      <c r="F3" s="448" t="s">
        <v>161</v>
      </c>
      <c r="G3" s="449"/>
      <c r="H3" s="450" t="s">
        <v>162</v>
      </c>
      <c r="I3" s="450"/>
      <c r="J3" s="465" t="s">
        <v>163</v>
      </c>
      <c r="K3" s="466"/>
      <c r="M3" s="534" t="s">
        <v>164</v>
      </c>
      <c r="N3" s="535"/>
      <c r="O3" s="535"/>
      <c r="P3"/>
      <c r="Q3"/>
      <c r="R3" s="460" t="s">
        <v>165</v>
      </c>
      <c r="S3" s="460"/>
      <c r="T3" s="460" t="s">
        <v>166</v>
      </c>
      <c r="U3" s="460"/>
      <c r="V3" s="460" t="s">
        <v>167</v>
      </c>
      <c r="W3" s="460"/>
      <c r="X3" s="460" t="s">
        <v>168</v>
      </c>
      <c r="Y3" s="460"/>
      <c r="Z3" s="461" t="s">
        <v>169</v>
      </c>
      <c r="AA3" s="462"/>
      <c r="AB3" s="463" t="s">
        <v>170</v>
      </c>
      <c r="AC3" s="464"/>
      <c r="AD3" s="507" t="s">
        <v>171</v>
      </c>
      <c r="AE3" s="508"/>
      <c r="AF3" s="356" t="str">
        <f>$M$2&amp;"年度"</f>
        <v>109年度</v>
      </c>
      <c r="AG3" s="357" t="str">
        <f>$M$2&amp;"年 1/1前 "</f>
        <v xml:space="preserve">109年 1/1前 </v>
      </c>
      <c r="AH3" s="359" t="str">
        <f>$M$2&amp;"年 1/1後"</f>
        <v>109年 1/1後</v>
      </c>
      <c r="AI3" s="360" t="str">
        <f>$M$2+1&amp;" 年前"</f>
        <v>110 年前</v>
      </c>
      <c r="AJ3" s="358" t="str">
        <f>$M$2+1&amp;"   年後"</f>
        <v>110   年後</v>
      </c>
      <c r="AK3" s="1"/>
      <c r="AL3" s="1"/>
      <c r="AM3" s="336">
        <f>DATE($M$2+1911-1,1,1)</f>
        <v>43466</v>
      </c>
      <c r="AN3" s="350">
        <f>DATE($M$2+1911,1,1)</f>
        <v>43831</v>
      </c>
      <c r="BJ3" s="1"/>
      <c r="BK3" s="1"/>
      <c r="BL3" s="1"/>
      <c r="BM3" s="1"/>
      <c r="BN3" s="1"/>
      <c r="BO3" s="1"/>
      <c r="BP3" s="1"/>
      <c r="BQ3" s="1"/>
      <c r="BR3" s="1"/>
      <c r="BS3" s="1"/>
      <c r="BT3" s="1"/>
      <c r="BU3" s="1"/>
      <c r="BV3" s="1"/>
      <c r="BW3" s="1"/>
      <c r="BX3" s="1"/>
      <c r="BY3" s="1"/>
    </row>
    <row r="4" spans="3:77" ht="22.25" customHeight="1" thickTop="1" thickBot="1" x14ac:dyDescent="0.45">
      <c r="C4" s="2">
        <v>0</v>
      </c>
      <c r="D4" s="4">
        <v>0</v>
      </c>
      <c r="F4" s="516"/>
      <c r="G4" s="517"/>
      <c r="H4" s="518">
        <f>DATE(F2+1911,H2,J2)+F4</f>
        <v>33421</v>
      </c>
      <c r="I4" s="519"/>
      <c r="J4" s="520">
        <f>IF(OR($H4=0,$H4&gt;$M$4),0,DATEDIF($H4+$G4,$M$4+1,"Y"))</f>
        <v>28</v>
      </c>
      <c r="K4" s="521"/>
      <c r="M4" s="522">
        <v>43830</v>
      </c>
      <c r="N4" s="522"/>
      <c r="O4" s="522"/>
      <c r="P4" s="275"/>
      <c r="Q4" s="276"/>
      <c r="R4" s="523">
        <f>X4+AF4</f>
        <v>30</v>
      </c>
      <c r="S4" s="523"/>
      <c r="T4" s="524">
        <f>1-(MONTH(H4)-1+(DAY(H4)-1)/DAY(EOMONTH((H4-1),0)))/12</f>
        <v>0.49731182795698925</v>
      </c>
      <c r="U4" s="524"/>
      <c r="V4" s="525">
        <f>IF($H4=0,0,DATEDIF($H4+$G4,DATE(M2+1911,MONTH(H4),DAY(H4)),"Y"))</f>
        <v>29</v>
      </c>
      <c r="W4" s="525"/>
      <c r="X4" s="523">
        <f>IF(OR(V4=0,J4=0),0,ROUND(VLOOKUP(IF($V4&gt;$J$5,$J$5,$V4),特休表,2,0)*$T4,2))+IF(OR(V4=0,J4=0),0,VLOOKUP(IF($V4&gt;$J$5,$J$5,$V4-1),特休表,2,0)-ROUND(VLOOKUP(IF($V4&gt;$J$5,$J$5,$V4-1),特休表,2,0)*$T4,2))</f>
        <v>30</v>
      </c>
      <c r="Y4" s="523"/>
      <c r="Z4" s="526">
        <f>IF(H4=0,0,AB4+AD4+AF4)</f>
        <v>30</v>
      </c>
      <c r="AA4" s="527"/>
      <c r="AB4" s="660">
        <f>IF(V4=0,0,VLOOKUP(IF($V4&gt;$J$5,$J$5,$V4-1),特休表,2,0)-ROUND(VLOOKUP(IF(($V4-1)&gt;$J$5,$J$5,($V4-1)),特休表,2,0)*$T4,0))</f>
        <v>15</v>
      </c>
      <c r="AC4" s="661"/>
      <c r="AD4" s="503">
        <f>ROUND(VLOOKUP(($V$4),特休表,2)*T4,0)</f>
        <v>15</v>
      </c>
      <c r="AE4" s="504"/>
      <c r="AF4" s="366">
        <f>IF(AND(H4&gt;=$AM$4,H4&lt;=$AN$3),3,AH4+AI4)</f>
        <v>0</v>
      </c>
      <c r="AG4" s="367">
        <f>IF(AH4=0,0,3-$AH$4)</f>
        <v>0</v>
      </c>
      <c r="AH4" s="368">
        <f>IF(AND($H$4&gt;$AM$3,$H$4&lt;$AM$4),ROUND(3*(MONTH($H$4)-1+(DAY($H$4)-1)/DAY(EOMONTH(($H$4-1),0)))/6,2),0)</f>
        <v>0</v>
      </c>
      <c r="AI4" s="369">
        <f>IF(AND($H4&gt;$AN$3,$H4&lt;$AN$4),3-ROUND(3*(MONTH($H4)-1+(DAY($H4)-1)/DAY(EOMONTH(($H4-1),0)))/6,2),0)</f>
        <v>0</v>
      </c>
      <c r="AJ4" s="370">
        <f>IF($AI4=0,0,3-$AI4)</f>
        <v>0</v>
      </c>
      <c r="AK4" s="1"/>
      <c r="AL4" s="1"/>
      <c r="AM4" s="336">
        <f>DATE($M$2+1911-1,7,1)</f>
        <v>43647</v>
      </c>
      <c r="AN4" s="350">
        <f>DATE($M$2+1911,7,1)</f>
        <v>44013</v>
      </c>
      <c r="BJ4" s="1"/>
      <c r="BK4" s="1"/>
      <c r="BL4" s="1"/>
      <c r="BM4" s="1"/>
      <c r="BN4" s="1"/>
      <c r="BO4" s="1"/>
      <c r="BP4" s="1"/>
      <c r="BQ4" s="1"/>
      <c r="BR4" s="1"/>
      <c r="BS4" s="1"/>
      <c r="BT4" s="1"/>
      <c r="BU4" s="1"/>
      <c r="BV4" s="1"/>
      <c r="BW4" s="1"/>
      <c r="BX4" s="1"/>
      <c r="BY4" s="1"/>
    </row>
    <row r="5" spans="3:77" ht="19.25" customHeight="1" x14ac:dyDescent="0.4">
      <c r="C5" s="2">
        <v>0.5</v>
      </c>
      <c r="D5" s="4">
        <v>3</v>
      </c>
      <c r="F5"/>
      <c r="G5"/>
      <c r="H5" s="499" t="s">
        <v>172</v>
      </c>
      <c r="I5" s="499"/>
      <c r="J5" s="500">
        <v>24</v>
      </c>
      <c r="K5" s="500"/>
      <c r="L5" s="277"/>
      <c r="N5"/>
      <c r="O5"/>
      <c r="Q5" s="278"/>
      <c r="R5" s="57"/>
      <c r="T5" s="498" t="str">
        <f>"=(1- ("&amp;MONTH(H4)-1&amp;"+"&amp;(DAY(H4)-1)&amp;"/"&amp;DAY(EOMONTH((H4-1),0))&amp;")"&amp;"/12)"</f>
        <v>=(1- (6+1/31)/12)</v>
      </c>
      <c r="U5" s="498"/>
      <c r="V5" s="498"/>
      <c r="W5" s="498"/>
      <c r="X5" s="498"/>
      <c r="Y5" s="498"/>
      <c r="Z5" s="214" t="s">
        <v>246</v>
      </c>
      <c r="AA5" s="206"/>
      <c r="AB5" s="279"/>
      <c r="AC5" s="279"/>
      <c r="AD5" s="206"/>
      <c r="AE5" s="206"/>
      <c r="AF5"/>
      <c r="AG5"/>
      <c r="BJ5" s="1"/>
      <c r="BK5" s="1"/>
      <c r="BL5" s="1"/>
      <c r="BM5" s="1"/>
      <c r="BN5" s="1"/>
      <c r="BO5" s="1"/>
      <c r="BP5" s="1"/>
      <c r="BQ5" s="1"/>
      <c r="BR5" s="1"/>
      <c r="BS5" s="1"/>
      <c r="BT5" s="1"/>
      <c r="BU5" s="1"/>
      <c r="BV5" s="1"/>
      <c r="BW5" s="1"/>
      <c r="BX5" s="1"/>
      <c r="BY5" s="1"/>
    </row>
    <row r="6" spans="3:77" ht="22.25" customHeight="1" x14ac:dyDescent="0.4">
      <c r="C6" s="3">
        <v>1</v>
      </c>
      <c r="D6" s="4">
        <v>7</v>
      </c>
      <c r="F6"/>
      <c r="G6"/>
      <c r="H6"/>
      <c r="I6"/>
      <c r="J6" s="275"/>
      <c r="K6" s="275"/>
      <c r="L6" s="275"/>
      <c r="M6"/>
      <c r="N6"/>
      <c r="O6"/>
      <c r="R6" s="658">
        <f>T4</f>
        <v>0.49731182795698925</v>
      </c>
      <c r="S6" s="658"/>
      <c r="T6" s="58" t="s">
        <v>173</v>
      </c>
      <c r="U6" s="58"/>
      <c r="Z6" s="207" t="s">
        <v>174</v>
      </c>
      <c r="AA6" s="206"/>
      <c r="AB6" s="206"/>
      <c r="AC6" s="206"/>
      <c r="AD6" s="206"/>
      <c r="AE6" s="206"/>
      <c r="AF6" s="280" t="s">
        <v>175</v>
      </c>
      <c r="AG6" s="1" t="str">
        <f>"("&amp;MONTH(H4)-1&amp;"+"&amp;(DAY(H4)-1)&amp;"/"&amp;DAY(EOMONTH((H4-1),0))&amp;")"&amp;"/6"</f>
        <v>(6+1/31)/6</v>
      </c>
      <c r="AH6"/>
      <c r="BJ6" s="1"/>
      <c r="BK6" s="1"/>
      <c r="BL6" s="1"/>
      <c r="BM6" s="1"/>
      <c r="BN6" s="1"/>
      <c r="BO6" s="1"/>
      <c r="BP6" s="1"/>
      <c r="BQ6" s="1"/>
      <c r="BR6" s="1"/>
      <c r="BS6" s="1"/>
      <c r="BT6" s="1"/>
      <c r="BU6" s="1"/>
      <c r="BV6" s="1"/>
      <c r="BW6" s="1"/>
      <c r="BX6" s="1"/>
      <c r="BY6" s="1"/>
    </row>
    <row r="7" spans="3:77" ht="22.25" customHeight="1" x14ac:dyDescent="0.4">
      <c r="C7" s="3">
        <v>2</v>
      </c>
      <c r="D7" s="4">
        <v>10</v>
      </c>
      <c r="F7"/>
      <c r="G7"/>
      <c r="H7"/>
      <c r="I7"/>
      <c r="J7"/>
      <c r="K7"/>
      <c r="L7"/>
      <c r="M7"/>
      <c r="N7"/>
      <c r="O7"/>
      <c r="P7"/>
      <c r="Q7"/>
      <c r="V7" s="7"/>
      <c r="X7" s="659"/>
      <c r="Y7" s="659"/>
      <c r="Z7" s="659"/>
      <c r="AA7" s="659"/>
      <c r="AB7" s="512"/>
      <c r="AC7" s="512"/>
      <c r="AD7" s="227"/>
      <c r="AE7" s="227"/>
      <c r="AF7" s="281" t="s">
        <v>176</v>
      </c>
      <c r="AG7" s="282">
        <f>(MONTH($H$4)-1+(DAY($H$4)-1)/DAY(EOMONTH(($H$4-1),0)))/6</f>
        <v>1.0053763440860215</v>
      </c>
      <c r="AH7"/>
      <c r="BJ7" s="1"/>
      <c r="BK7" s="1"/>
      <c r="BL7" s="1"/>
      <c r="BM7" s="1"/>
      <c r="BN7" s="1"/>
      <c r="BO7" s="1"/>
      <c r="BP7" s="1"/>
      <c r="BQ7" s="1"/>
      <c r="BR7" s="1"/>
      <c r="BS7" s="1"/>
      <c r="BT7" s="1"/>
      <c r="BU7" s="1"/>
      <c r="BV7" s="1"/>
      <c r="BW7" s="1"/>
      <c r="BX7" s="1"/>
      <c r="BY7" s="1"/>
    </row>
    <row r="8" spans="3:77" ht="22.25" customHeight="1" x14ac:dyDescent="0.4">
      <c r="C8" s="3">
        <v>3</v>
      </c>
      <c r="D8" s="4">
        <v>14</v>
      </c>
      <c r="F8"/>
      <c r="G8"/>
      <c r="I8"/>
      <c r="J8"/>
      <c r="K8"/>
      <c r="L8"/>
      <c r="M8"/>
      <c r="N8"/>
      <c r="O8"/>
      <c r="P8"/>
      <c r="Q8" s="275"/>
      <c r="R8" s="275"/>
      <c r="T8" s="6"/>
      <c r="Z8" s="9"/>
      <c r="AA8" s="9"/>
      <c r="AF8" s="281"/>
      <c r="AG8" s="283"/>
      <c r="AH8"/>
      <c r="BJ8" s="1"/>
      <c r="BK8" s="1"/>
      <c r="BL8" s="1"/>
      <c r="BM8" s="1"/>
      <c r="BN8" s="1"/>
      <c r="BO8" s="1"/>
      <c r="BP8" s="1"/>
      <c r="BQ8" s="1"/>
      <c r="BR8" s="1"/>
      <c r="BS8" s="1"/>
      <c r="BT8" s="1"/>
      <c r="BU8" s="1"/>
      <c r="BV8" s="1"/>
      <c r="BW8" s="1"/>
      <c r="BX8" s="1"/>
      <c r="BY8" s="1"/>
    </row>
    <row r="9" spans="3:77" ht="22.25" customHeight="1" thickBot="1" x14ac:dyDescent="0.45">
      <c r="C9" s="3">
        <v>4</v>
      </c>
      <c r="D9" s="4">
        <v>14</v>
      </c>
      <c r="G9" s="469">
        <f>DATE(YEAR(N10)-1,H2,J2)</f>
        <v>43648</v>
      </c>
      <c r="H9" s="469"/>
      <c r="I9"/>
      <c r="J9"/>
      <c r="K9"/>
      <c r="L9" s="467">
        <f>DATE($M$2+1911-1,12,31)</f>
        <v>43830</v>
      </c>
      <c r="M9" s="467"/>
      <c r="N9" s="458">
        <f>N10</f>
        <v>43831</v>
      </c>
      <c r="O9" s="458"/>
      <c r="Q9" s="513">
        <f>DATE(YEAR($G$12)+1,MONTH($H$4),DAY($H$4))-1</f>
        <v>44013</v>
      </c>
      <c r="R9" s="513"/>
      <c r="S9" s="514">
        <f>DATE(YEAR(N10),H2,J2)</f>
        <v>44014</v>
      </c>
      <c r="T9" s="514"/>
      <c r="X9" s="467" t="s">
        <v>177</v>
      </c>
      <c r="Y9" s="467"/>
      <c r="Z9" s="468" t="s">
        <v>178</v>
      </c>
      <c r="AA9" s="468"/>
      <c r="AD9" s="515">
        <f>DATE(YEAR(N10)+1,H2,J2)</f>
        <v>44379</v>
      </c>
      <c r="AE9" s="515"/>
      <c r="BJ9" s="1"/>
      <c r="BK9" s="1"/>
      <c r="BL9" s="1"/>
      <c r="BM9" s="1"/>
      <c r="BN9" s="1"/>
      <c r="BO9" s="1"/>
      <c r="BP9" s="1"/>
      <c r="BQ9" s="1"/>
      <c r="BR9" s="1"/>
      <c r="BS9" s="1"/>
      <c r="BT9" s="1"/>
      <c r="BU9" s="1"/>
      <c r="BV9" s="1"/>
      <c r="BW9" s="1"/>
      <c r="BX9" s="1"/>
      <c r="BY9" s="1"/>
    </row>
    <row r="10" spans="3:77" ht="22.25" customHeight="1" thickTop="1" thickBot="1" x14ac:dyDescent="0.45">
      <c r="C10" s="3">
        <v>5</v>
      </c>
      <c r="D10" s="4">
        <v>15</v>
      </c>
      <c r="F10" s="8"/>
      <c r="G10" s="85" t="s">
        <v>65</v>
      </c>
      <c r="H10" s="86"/>
      <c r="I10" s="324" t="s">
        <v>1146</v>
      </c>
      <c r="J10" s="86"/>
      <c r="K10" s="86"/>
      <c r="L10" s="470" t="s">
        <v>72</v>
      </c>
      <c r="M10" s="470"/>
      <c r="N10" s="484">
        <f>J12+1</f>
        <v>43831</v>
      </c>
      <c r="O10" s="485"/>
      <c r="P10" s="323" t="s">
        <v>1145</v>
      </c>
      <c r="Q10" s="87"/>
      <c r="R10" s="88"/>
      <c r="S10" s="87" t="s">
        <v>65</v>
      </c>
      <c r="T10" s="87"/>
      <c r="U10" s="323" t="s">
        <v>131</v>
      </c>
      <c r="V10" s="87"/>
      <c r="W10" s="536">
        <f>V12</f>
        <v>44196</v>
      </c>
      <c r="X10" s="536"/>
      <c r="Y10" s="537"/>
      <c r="Z10" s="538">
        <f>W10+1</f>
        <v>44197</v>
      </c>
      <c r="AA10" s="538"/>
      <c r="AB10" s="324" t="s">
        <v>1144</v>
      </c>
      <c r="AC10" s="86"/>
      <c r="AD10" s="89"/>
      <c r="AE10" s="1" t="s">
        <v>179</v>
      </c>
      <c r="BJ10" s="1"/>
      <c r="BK10" s="1"/>
      <c r="BL10" s="1"/>
      <c r="BM10" s="1"/>
      <c r="BN10" s="1"/>
      <c r="BO10" s="1"/>
      <c r="BP10" s="1"/>
      <c r="BQ10" s="1"/>
      <c r="BR10" s="1"/>
      <c r="BS10" s="1"/>
      <c r="BT10" s="1"/>
      <c r="BU10" s="1"/>
      <c r="BV10" s="1"/>
      <c r="BW10" s="1"/>
      <c r="BX10" s="1"/>
      <c r="BY10" s="1"/>
    </row>
    <row r="11" spans="3:77" ht="22.25" customHeight="1" thickBot="1" x14ac:dyDescent="0.45">
      <c r="C11" s="3">
        <v>6</v>
      </c>
      <c r="D11" s="5">
        <v>15</v>
      </c>
      <c r="F11" s="9"/>
      <c r="G11" s="103">
        <f>IF(V4=0,0,V4-1)</f>
        <v>28</v>
      </c>
      <c r="H11" s="104" t="s">
        <v>180</v>
      </c>
      <c r="I11" s="105"/>
      <c r="J11" s="105"/>
      <c r="K11" s="105"/>
      <c r="L11" s="105"/>
      <c r="M11" s="105">
        <f>IF(V4=0,0,VLOOKUP(($V$4-1),特休表,2))</f>
        <v>30</v>
      </c>
      <c r="N11" s="105" t="s">
        <v>64</v>
      </c>
      <c r="O11" s="105"/>
      <c r="P11" s="105"/>
      <c r="Q11" s="105"/>
      <c r="R11" s="106"/>
      <c r="S11" s="107">
        <f>V4</f>
        <v>29</v>
      </c>
      <c r="T11" s="108" t="s">
        <v>180</v>
      </c>
      <c r="U11" s="108"/>
      <c r="V11" s="108"/>
      <c r="W11" s="108"/>
      <c r="X11" s="108"/>
      <c r="Y11" s="108">
        <f>VLOOKUP(($V$4),特休表,2)</f>
        <v>30</v>
      </c>
      <c r="Z11" s="108" t="s">
        <v>64</v>
      </c>
      <c r="AA11" s="108"/>
      <c r="AB11" s="108"/>
      <c r="AC11" s="108"/>
      <c r="AD11" s="109"/>
      <c r="BJ11" s="1"/>
      <c r="BK11" s="1"/>
      <c r="BL11" s="1"/>
      <c r="BM11" s="1"/>
      <c r="BN11" s="1"/>
      <c r="BO11" s="1"/>
      <c r="BP11" s="1"/>
      <c r="BQ11" s="1"/>
      <c r="BR11" s="1"/>
      <c r="BS11" s="1"/>
      <c r="BT11" s="1"/>
      <c r="BU11" s="1"/>
      <c r="BV11" s="1"/>
      <c r="BW11" s="1"/>
      <c r="BX11" s="1"/>
      <c r="BY11" s="1"/>
    </row>
    <row r="12" spans="3:77" ht="22.25" customHeight="1" x14ac:dyDescent="0.4">
      <c r="C12" s="3">
        <v>7</v>
      </c>
      <c r="D12" s="5">
        <v>15</v>
      </c>
      <c r="F12" s="8"/>
      <c r="G12" s="486">
        <f>DATE($M$2+1911-1,MONTH($H$4),DAY($H$4))</f>
        <v>43648</v>
      </c>
      <c r="H12" s="487"/>
      <c r="I12" s="113"/>
      <c r="J12" s="488">
        <f>DATE($M$2+1911-1,12,31)</f>
        <v>43830</v>
      </c>
      <c r="K12" s="488"/>
      <c r="L12" s="488"/>
      <c r="M12" s="488"/>
      <c r="N12" s="489">
        <f>N10</f>
        <v>43831</v>
      </c>
      <c r="O12" s="490"/>
      <c r="P12" s="491">
        <f>DATE(YEAR($G$12)+1,MONTH($H$4),DAY($H$4))-1</f>
        <v>44013</v>
      </c>
      <c r="Q12" s="491"/>
      <c r="R12" s="492"/>
      <c r="S12" s="493">
        <f>P12+1</f>
        <v>44014</v>
      </c>
      <c r="T12" s="494"/>
      <c r="U12" s="114"/>
      <c r="V12" s="455">
        <f>DATE(YEAR($J$12)+1,12,31)</f>
        <v>44196</v>
      </c>
      <c r="W12" s="455"/>
      <c r="X12" s="455"/>
      <c r="Y12" s="495"/>
      <c r="Z12" s="496">
        <f>V12+1</f>
        <v>44197</v>
      </c>
      <c r="AA12" s="497"/>
      <c r="AB12" s="455">
        <f>DATE(YEAR($G$12)+2,MONTH($H$4),DAY($H$4))-1</f>
        <v>44378</v>
      </c>
      <c r="AC12" s="455"/>
      <c r="AD12" s="456"/>
      <c r="BJ12" s="1"/>
      <c r="BK12" s="1"/>
      <c r="BL12" s="1"/>
      <c r="BM12" s="1"/>
      <c r="BN12" s="1"/>
      <c r="BO12" s="1"/>
      <c r="BP12" s="1"/>
      <c r="BQ12" s="1"/>
      <c r="BR12" s="1"/>
      <c r="BS12" s="1"/>
      <c r="BT12" s="1"/>
      <c r="BU12" s="1"/>
      <c r="BV12" s="1"/>
      <c r="BW12" s="1"/>
      <c r="BX12" s="1"/>
      <c r="BY12" s="1"/>
    </row>
    <row r="13" spans="3:77" ht="22.25" customHeight="1" x14ac:dyDescent="0.4">
      <c r="C13" s="3">
        <v>8</v>
      </c>
      <c r="D13" s="5">
        <v>15</v>
      </c>
      <c r="F13" s="8"/>
      <c r="G13" s="92"/>
      <c r="H13" s="93"/>
      <c r="I13" s="94" t="s">
        <v>181</v>
      </c>
      <c r="J13" s="457">
        <f>$T$4</f>
        <v>0.49731182795698925</v>
      </c>
      <c r="K13" s="457"/>
      <c r="L13" s="95"/>
      <c r="M13" s="93"/>
      <c r="N13" s="117"/>
      <c r="O13" s="118" t="s">
        <v>181</v>
      </c>
      <c r="P13" s="669">
        <f>(1-$J$13)</f>
        <v>0.50268817204301075</v>
      </c>
      <c r="Q13" s="669"/>
      <c r="R13" s="119"/>
      <c r="S13" s="93"/>
      <c r="T13" s="93"/>
      <c r="U13" s="94" t="s">
        <v>181</v>
      </c>
      <c r="V13" s="457">
        <f>$T$4</f>
        <v>0.49731182795698925</v>
      </c>
      <c r="W13" s="457"/>
      <c r="X13" s="96"/>
      <c r="Y13" s="97"/>
      <c r="Z13" s="120"/>
      <c r="AA13" s="118" t="s">
        <v>181</v>
      </c>
      <c r="AB13" s="670">
        <f>(1-$J$13)</f>
        <v>0.50268817204301075</v>
      </c>
      <c r="AC13" s="670"/>
      <c r="AD13" s="119"/>
      <c r="BJ13" s="1"/>
      <c r="BK13" s="1"/>
      <c r="BL13" s="1"/>
      <c r="BM13" s="1"/>
      <c r="BN13" s="1"/>
      <c r="BO13" s="1"/>
      <c r="BP13" s="1"/>
      <c r="BQ13" s="1"/>
      <c r="BR13" s="1"/>
      <c r="BS13" s="1"/>
      <c r="BT13" s="1"/>
      <c r="BU13" s="1"/>
      <c r="BV13" s="1"/>
      <c r="BW13" s="1"/>
      <c r="BX13" s="1"/>
      <c r="BY13" s="1"/>
    </row>
    <row r="14" spans="3:77" ht="22.25" customHeight="1" thickBot="1" x14ac:dyDescent="0.45">
      <c r="C14" s="3">
        <v>9</v>
      </c>
      <c r="D14" s="5">
        <v>15</v>
      </c>
      <c r="F14" s="8"/>
      <c r="G14" s="110"/>
      <c r="H14" s="94" t="s">
        <v>182</v>
      </c>
      <c r="I14" s="111">
        <f>M11</f>
        <v>30</v>
      </c>
      <c r="J14" s="102" t="s">
        <v>183</v>
      </c>
      <c r="K14" s="362">
        <f>J13</f>
        <v>0.49731182795698925</v>
      </c>
      <c r="L14" s="215" t="s">
        <v>184</v>
      </c>
      <c r="M14" s="363">
        <f>I14*K14</f>
        <v>14.919354838709678</v>
      </c>
      <c r="N14" s="121"/>
      <c r="O14" s="122" t="s">
        <v>182</v>
      </c>
      <c r="P14" s="123">
        <f>M11</f>
        <v>30</v>
      </c>
      <c r="Q14" s="123" t="s">
        <v>185</v>
      </c>
      <c r="R14" s="124">
        <f>K15</f>
        <v>15</v>
      </c>
      <c r="S14" s="93"/>
      <c r="T14" s="94" t="s">
        <v>182</v>
      </c>
      <c r="U14" s="102">
        <f>Y11</f>
        <v>30</v>
      </c>
      <c r="V14" s="102" t="s">
        <v>183</v>
      </c>
      <c r="W14" s="361">
        <f>V13</f>
        <v>0.49731182795698925</v>
      </c>
      <c r="X14" s="102" t="s">
        <v>184</v>
      </c>
      <c r="Y14" s="363">
        <f>U14*W14</f>
        <v>14.919354838709678</v>
      </c>
      <c r="Z14" s="112"/>
      <c r="AA14" s="122" t="s">
        <v>182</v>
      </c>
      <c r="AB14" s="125">
        <f>Y11</f>
        <v>30</v>
      </c>
      <c r="AC14" s="125" t="s">
        <v>185</v>
      </c>
      <c r="AD14" s="124">
        <f>W15</f>
        <v>15</v>
      </c>
      <c r="BJ14" s="1"/>
      <c r="BK14" s="1"/>
      <c r="BL14" s="1"/>
      <c r="BM14" s="1"/>
      <c r="BN14" s="1"/>
      <c r="BO14" s="1"/>
      <c r="BP14" s="1"/>
      <c r="BQ14" s="1"/>
      <c r="BR14" s="1"/>
      <c r="BS14" s="1"/>
      <c r="BT14" s="1"/>
      <c r="BU14" s="1"/>
      <c r="BV14" s="1"/>
      <c r="BW14" s="1"/>
      <c r="BX14" s="1"/>
      <c r="BY14" s="1"/>
    </row>
    <row r="15" spans="3:77" ht="22.25" customHeight="1" thickBot="1" x14ac:dyDescent="0.45">
      <c r="C15" s="3">
        <v>10</v>
      </c>
      <c r="D15" s="4">
        <v>16</v>
      </c>
      <c r="F15" s="8"/>
      <c r="G15" s="580" t="s">
        <v>187</v>
      </c>
      <c r="H15" s="581"/>
      <c r="I15" s="581"/>
      <c r="J15" s="126" t="s">
        <v>184</v>
      </c>
      <c r="K15" s="213">
        <f>ROUND(I14*K14,0)</f>
        <v>15</v>
      </c>
      <c r="L15" s="212"/>
      <c r="M15" s="115"/>
      <c r="N15" s="127"/>
      <c r="O15" s="128" t="s">
        <v>184</v>
      </c>
      <c r="P15" s="211">
        <f>M11-K15</f>
        <v>15</v>
      </c>
      <c r="Q15" s="210"/>
      <c r="R15" s="129"/>
      <c r="S15" s="582" t="s">
        <v>186</v>
      </c>
      <c r="T15" s="583"/>
      <c r="U15" s="583"/>
      <c r="V15" s="128" t="s">
        <v>184</v>
      </c>
      <c r="W15" s="210">
        <f>ROUND(U14*W14,0)</f>
        <v>15</v>
      </c>
      <c r="X15" s="210"/>
      <c r="Y15" s="284"/>
      <c r="Z15" s="115"/>
      <c r="AA15" s="126" t="s">
        <v>184</v>
      </c>
      <c r="AB15" s="213">
        <f>AB14-AD14</f>
        <v>15</v>
      </c>
      <c r="AC15" s="212"/>
      <c r="AD15" s="130"/>
      <c r="BJ15" s="1"/>
      <c r="BK15" s="1"/>
      <c r="BL15" s="1"/>
      <c r="BM15" s="1"/>
      <c r="BN15" s="1"/>
      <c r="BO15" s="1"/>
      <c r="BP15" s="1"/>
      <c r="BQ15" s="1"/>
      <c r="BR15" s="1"/>
      <c r="BS15" s="1"/>
      <c r="BT15" s="1"/>
      <c r="BU15" s="1"/>
      <c r="BV15" s="1"/>
      <c r="BW15" s="1"/>
      <c r="BX15" s="1"/>
      <c r="BY15" s="1"/>
    </row>
    <row r="16" spans="3:77" ht="22.25" customHeight="1" thickTop="1" thickBot="1" x14ac:dyDescent="0.45">
      <c r="C16" s="3">
        <v>11</v>
      </c>
      <c r="D16" s="5">
        <v>17</v>
      </c>
      <c r="F16" s="9"/>
      <c r="G16" s="116"/>
      <c r="H16" s="131"/>
      <c r="I16" s="131"/>
      <c r="J16" s="131" t="s">
        <v>187</v>
      </c>
      <c r="K16"/>
      <c r="L16" s="131"/>
      <c r="M16" s="131"/>
      <c r="N16" s="132"/>
      <c r="O16" s="133"/>
      <c r="P16" s="133"/>
      <c r="Q16" s="134" t="s">
        <v>184</v>
      </c>
      <c r="R16" s="228">
        <f>P15</f>
        <v>15</v>
      </c>
      <c r="S16" s="133" t="s">
        <v>188</v>
      </c>
      <c r="T16" s="133">
        <f>W15</f>
        <v>15</v>
      </c>
      <c r="U16" s="134" t="s">
        <v>184</v>
      </c>
      <c r="V16" s="528">
        <f>P15+W15</f>
        <v>30</v>
      </c>
      <c r="W16" s="528"/>
      <c r="X16" s="133" t="s">
        <v>189</v>
      </c>
      <c r="Y16" s="135"/>
      <c r="Z16" s="131"/>
      <c r="AA16" s="131"/>
      <c r="AB16" s="131"/>
      <c r="AC16" s="131"/>
      <c r="AD16" s="131"/>
      <c r="BJ16" s="1"/>
      <c r="BK16" s="1"/>
      <c r="BL16" s="1"/>
      <c r="BM16" s="1"/>
      <c r="BN16" s="1"/>
      <c r="BO16" s="1"/>
      <c r="BP16" s="1"/>
      <c r="BQ16" s="1"/>
      <c r="BR16" s="1"/>
      <c r="BS16" s="1"/>
      <c r="BT16" s="1"/>
      <c r="BU16" s="1"/>
      <c r="BV16" s="1"/>
      <c r="BW16" s="1"/>
      <c r="BX16" s="1"/>
      <c r="BY16" s="1"/>
    </row>
    <row r="17" spans="3:77" ht="22.25" customHeight="1" thickTop="1" x14ac:dyDescent="0.4">
      <c r="C17" s="3">
        <v>12</v>
      </c>
      <c r="D17" s="5">
        <v>18</v>
      </c>
      <c r="J17" s="136" t="s">
        <v>190</v>
      </c>
      <c r="K17" s="136"/>
      <c r="L17" s="136"/>
      <c r="M17" s="136"/>
      <c r="N17" s="529">
        <f>N10</f>
        <v>43831</v>
      </c>
      <c r="O17" s="529"/>
      <c r="P17" s="136"/>
      <c r="Q17" s="136" t="s">
        <v>191</v>
      </c>
      <c r="R17" s="136"/>
      <c r="S17" s="131"/>
      <c r="T17" s="131"/>
      <c r="U17" s="131"/>
      <c r="V17" s="131"/>
      <c r="W17" s="530">
        <f>W10</f>
        <v>44196</v>
      </c>
      <c r="X17" s="530"/>
      <c r="Y17" s="530"/>
      <c r="BJ17" s="1"/>
      <c r="BK17" s="1"/>
      <c r="BL17" s="1"/>
      <c r="BM17" s="1"/>
      <c r="BN17" s="1"/>
      <c r="BO17" s="1"/>
      <c r="BP17" s="1"/>
      <c r="BQ17" s="1"/>
      <c r="BR17" s="1"/>
      <c r="BS17" s="1"/>
      <c r="BT17" s="1"/>
      <c r="BU17" s="1"/>
      <c r="BV17" s="1"/>
      <c r="BW17" s="1"/>
      <c r="BX17" s="1"/>
      <c r="BY17" s="1"/>
    </row>
    <row r="18" spans="3:77" ht="22.25" customHeight="1" x14ac:dyDescent="0.4">
      <c r="C18" s="3">
        <v>13</v>
      </c>
      <c r="D18" s="5">
        <v>19</v>
      </c>
      <c r="G18" s="99" t="s">
        <v>192</v>
      </c>
      <c r="BJ18" s="1"/>
      <c r="BK18" s="1"/>
      <c r="BL18" s="1"/>
      <c r="BM18" s="1"/>
      <c r="BN18" s="1"/>
      <c r="BO18" s="1"/>
      <c r="BP18" s="1"/>
      <c r="BQ18" s="1"/>
      <c r="BR18" s="1"/>
      <c r="BS18" s="1"/>
      <c r="BT18" s="1"/>
      <c r="BU18" s="1"/>
      <c r="BV18" s="1"/>
      <c r="BW18" s="1"/>
      <c r="BX18" s="1"/>
      <c r="BY18" s="1"/>
    </row>
    <row r="19" spans="3:77" ht="22.25" customHeight="1" x14ac:dyDescent="0.4">
      <c r="C19" s="3">
        <v>14</v>
      </c>
      <c r="D19" s="5">
        <v>20</v>
      </c>
      <c r="BJ19" s="1"/>
      <c r="BK19" s="1"/>
      <c r="BL19" s="1"/>
      <c r="BM19" s="1"/>
      <c r="BN19" s="1"/>
      <c r="BO19" s="1"/>
      <c r="BP19" s="1"/>
      <c r="BQ19" s="1"/>
      <c r="BR19" s="1"/>
      <c r="BS19" s="1"/>
      <c r="BT19" s="1"/>
      <c r="BU19" s="1"/>
      <c r="BV19" s="1"/>
      <c r="BW19" s="1"/>
      <c r="BX19" s="1"/>
      <c r="BY19" s="1"/>
    </row>
    <row r="20" spans="3:77" ht="22.25" customHeight="1" x14ac:dyDescent="0.4">
      <c r="C20" s="3">
        <v>15</v>
      </c>
      <c r="D20" s="5">
        <v>21</v>
      </c>
      <c r="F20" s="53"/>
      <c r="G20" s="53"/>
      <c r="H20" s="178"/>
      <c r="I20" s="178"/>
      <c r="J20" s="438">
        <f>I$27</f>
        <v>107</v>
      </c>
      <c r="K20" s="438"/>
      <c r="L20" s="53"/>
      <c r="M20" s="178"/>
      <c r="N20" s="531">
        <f>M27</f>
        <v>108</v>
      </c>
      <c r="O20" s="531"/>
      <c r="P20" s="179"/>
      <c r="Q20" s="179"/>
      <c r="R20" s="532">
        <f>Q27</f>
        <v>109</v>
      </c>
      <c r="S20" s="532"/>
      <c r="T20" s="53"/>
      <c r="U20" s="53"/>
      <c r="V20" s="533">
        <f>U27</f>
        <v>110</v>
      </c>
      <c r="W20" s="533"/>
      <c r="X20" s="53"/>
      <c r="Y20" s="53"/>
      <c r="Z20" s="438">
        <f>Y27</f>
        <v>111</v>
      </c>
      <c r="AA20" s="438"/>
      <c r="AB20" s="53"/>
      <c r="AC20" s="53"/>
      <c r="AD20" s="438">
        <f>AC27</f>
        <v>112</v>
      </c>
      <c r="AE20" s="438"/>
      <c r="BJ20" s="1"/>
      <c r="BK20" s="1"/>
      <c r="BL20" s="1"/>
      <c r="BM20" s="1"/>
      <c r="BN20" s="1"/>
      <c r="BO20" s="1"/>
      <c r="BP20" s="1"/>
      <c r="BQ20" s="1"/>
      <c r="BR20" s="1"/>
      <c r="BS20" s="1"/>
      <c r="BT20" s="1"/>
      <c r="BU20" s="1"/>
      <c r="BV20" s="1"/>
      <c r="BW20" s="1"/>
      <c r="BX20" s="1"/>
      <c r="BY20" s="1"/>
    </row>
    <row r="21" spans="3:77" ht="22.25" customHeight="1" x14ac:dyDescent="0.4">
      <c r="C21" s="3">
        <v>16</v>
      </c>
      <c r="D21" s="5">
        <v>22</v>
      </c>
      <c r="F21" s="443" t="s">
        <v>162</v>
      </c>
      <c r="G21" s="443"/>
      <c r="H21" s="444">
        <f>$H$4</f>
        <v>33421</v>
      </c>
      <c r="I21" s="445"/>
      <c r="J21" s="180">
        <f>K21-1</f>
        <v>43282</v>
      </c>
      <c r="K21" s="189">
        <f>DATE(I27+1911,$H$2,$J$2)</f>
        <v>43283</v>
      </c>
      <c r="L21" s="190"/>
      <c r="M21" s="190"/>
      <c r="N21" s="191">
        <f>O21-1</f>
        <v>43647</v>
      </c>
      <c r="O21" s="186">
        <f>DATE(M27+1911,$H$2,$J$2)</f>
        <v>43648</v>
      </c>
      <c r="P21" s="187"/>
      <c r="Q21" s="187"/>
      <c r="R21" s="188">
        <f>S21-1</f>
        <v>44013</v>
      </c>
      <c r="S21" s="189">
        <f>DATE(Q27+1911,$H$2,$J$2)</f>
        <v>44014</v>
      </c>
      <c r="T21" s="190"/>
      <c r="U21" s="190"/>
      <c r="V21" s="191">
        <f>W21-1</f>
        <v>44378</v>
      </c>
      <c r="W21" s="186">
        <f>DATE(U27+1911,$H$2,$J$2)</f>
        <v>44379</v>
      </c>
      <c r="X21" s="187"/>
      <c r="Y21" s="187"/>
      <c r="Z21" s="188">
        <f>AA21-1</f>
        <v>44743</v>
      </c>
      <c r="AA21" s="189">
        <f>DATE(Y27+1911,$H$2,$J$2)</f>
        <v>44744</v>
      </c>
      <c r="AB21" s="190"/>
      <c r="AC21" s="190"/>
      <c r="AD21" s="191">
        <f>AE21-1</f>
        <v>45108</v>
      </c>
      <c r="AE21" s="185">
        <f>DATE(AC27+1911,$H$2,$J$2)</f>
        <v>45109</v>
      </c>
      <c r="AF21" s="32"/>
      <c r="BJ21" s="1"/>
      <c r="BK21" s="1"/>
      <c r="BL21" s="1"/>
      <c r="BM21" s="1"/>
      <c r="BN21" s="1"/>
      <c r="BO21" s="1"/>
      <c r="BP21" s="1"/>
      <c r="BQ21" s="1"/>
      <c r="BR21" s="1"/>
      <c r="BS21" s="1"/>
      <c r="BT21" s="1"/>
      <c r="BU21" s="1"/>
      <c r="BV21" s="1"/>
      <c r="BW21" s="1"/>
      <c r="BX21" s="1"/>
      <c r="BY21" s="1"/>
    </row>
    <row r="22" spans="3:77" ht="22.25" customHeight="1" x14ac:dyDescent="0.4">
      <c r="C22" s="3">
        <v>17</v>
      </c>
      <c r="D22" s="5">
        <v>23</v>
      </c>
      <c r="F22" s="422" t="s">
        <v>193</v>
      </c>
      <c r="G22" s="422"/>
      <c r="H22" s="422"/>
      <c r="I22" s="425">
        <f>IF((K22-1)&lt;0,0,K22-1)</f>
        <v>26</v>
      </c>
      <c r="J22" s="426"/>
      <c r="K22" s="427">
        <f>I27-(YEAR($H$4)-1911)</f>
        <v>27</v>
      </c>
      <c r="L22" s="427"/>
      <c r="M22" s="427"/>
      <c r="N22" s="427"/>
      <c r="O22" s="428">
        <f>M27-(YEAR($H$4)-1911)</f>
        <v>28</v>
      </c>
      <c r="P22" s="428"/>
      <c r="Q22" s="428"/>
      <c r="R22" s="428"/>
      <c r="S22" s="427">
        <f>Q27-(YEAR($H$4)-1911)</f>
        <v>29</v>
      </c>
      <c r="T22" s="427"/>
      <c r="U22" s="427"/>
      <c r="V22" s="427"/>
      <c r="W22" s="428">
        <f>U27-(YEAR($H$4)-1911)</f>
        <v>30</v>
      </c>
      <c r="X22" s="428"/>
      <c r="Y22" s="428"/>
      <c r="Z22" s="428"/>
      <c r="AA22" s="427">
        <f>Y27-(YEAR($H$4)-1911)</f>
        <v>31</v>
      </c>
      <c r="AB22" s="427"/>
      <c r="AC22" s="427"/>
      <c r="AD22" s="427"/>
      <c r="AE22" s="429">
        <f>AA22+1</f>
        <v>32</v>
      </c>
      <c r="AF22" s="430"/>
      <c r="BJ22" s="1"/>
      <c r="BK22" s="1"/>
      <c r="BL22" s="1"/>
      <c r="BM22" s="1"/>
      <c r="BN22" s="1"/>
      <c r="BO22" s="1"/>
      <c r="BP22" s="1"/>
      <c r="BQ22" s="1"/>
      <c r="BR22" s="1"/>
      <c r="BS22" s="1"/>
      <c r="BT22" s="1"/>
      <c r="BU22" s="1"/>
      <c r="BV22" s="1"/>
      <c r="BW22" s="1"/>
      <c r="BX22" s="1"/>
      <c r="BY22" s="1"/>
    </row>
    <row r="23" spans="3:77" ht="22.25" customHeight="1" thickBot="1" x14ac:dyDescent="0.45">
      <c r="C23" s="3">
        <v>18</v>
      </c>
      <c r="D23" s="5">
        <v>24</v>
      </c>
      <c r="F23" s="422" t="s">
        <v>194</v>
      </c>
      <c r="G23" s="422"/>
      <c r="H23" s="431"/>
      <c r="I23" s="432">
        <f>IF(ISNA(VLOOKUP((K$22-1),特休表,2,0)),0,VLOOKUP((K$22-1),特休表,2,0))</f>
        <v>30</v>
      </c>
      <c r="J23" s="433"/>
      <c r="K23" s="434">
        <f>IF(ISNA(VLOOKUP(K$22,特休表,2,0)),0,VLOOKUP(K$22,特休表,2,0))</f>
        <v>30</v>
      </c>
      <c r="L23" s="434"/>
      <c r="M23" s="434"/>
      <c r="N23" s="434"/>
      <c r="O23" s="435">
        <f>IF(ISNA(VLOOKUP(O$22,特休表,2,0)),0,VLOOKUP(O$22,特休表,2,0))</f>
        <v>30</v>
      </c>
      <c r="P23" s="435"/>
      <c r="Q23" s="435"/>
      <c r="R23" s="435"/>
      <c r="S23" s="434">
        <f>VLOOKUP(S$22,特休表,2,0)</f>
        <v>30</v>
      </c>
      <c r="T23" s="434"/>
      <c r="U23" s="434"/>
      <c r="V23" s="434"/>
      <c r="W23" s="435">
        <f>VLOOKUP(W$22,特休表,2,0)</f>
        <v>30</v>
      </c>
      <c r="X23" s="435"/>
      <c r="Y23" s="435"/>
      <c r="Z23" s="435"/>
      <c r="AA23" s="434">
        <f>VLOOKUP(AA$22,特休表,2,0)</f>
        <v>30</v>
      </c>
      <c r="AB23" s="434"/>
      <c r="AC23" s="434"/>
      <c r="AD23" s="434"/>
      <c r="AE23" s="436">
        <f>VLOOKUP((AA22+1),特休表,2,0)</f>
        <v>30</v>
      </c>
      <c r="AF23" s="437"/>
      <c r="BJ23" s="1"/>
      <c r="BK23" s="1"/>
      <c r="BL23" s="1"/>
      <c r="BM23" s="1"/>
      <c r="BN23" s="1"/>
      <c r="BO23" s="1"/>
      <c r="BP23" s="1"/>
      <c r="BQ23" s="1"/>
      <c r="BR23" s="1"/>
      <c r="BS23" s="1"/>
      <c r="BT23" s="1"/>
      <c r="BU23" s="1"/>
      <c r="BV23" s="1"/>
      <c r="BW23" s="1"/>
      <c r="BX23" s="1"/>
      <c r="BY23" s="1"/>
    </row>
    <row r="24" spans="3:77" ht="22.25" customHeight="1" x14ac:dyDescent="0.4">
      <c r="C24" s="3">
        <v>19</v>
      </c>
      <c r="D24" s="5">
        <v>25</v>
      </c>
      <c r="F24" s="53"/>
      <c r="G24" s="438" t="s">
        <v>195</v>
      </c>
      <c r="H24" s="439"/>
      <c r="I24" s="201">
        <f>DATE(I27+1911,1,1)</f>
        <v>43101</v>
      </c>
      <c r="J24" s="202">
        <f>J21</f>
        <v>43282</v>
      </c>
      <c r="K24" s="203">
        <f>K21</f>
        <v>43283</v>
      </c>
      <c r="L24" s="204">
        <f>DATE(I27+1911,12,31)</f>
        <v>43465</v>
      </c>
      <c r="M24" s="196">
        <f>DATE(M27+1911,1,1)</f>
        <v>43466</v>
      </c>
      <c r="N24" s="197">
        <f>N21</f>
        <v>43647</v>
      </c>
      <c r="O24" s="198">
        <f>O21</f>
        <v>43648</v>
      </c>
      <c r="P24" s="199">
        <f>DATE(M27+1911,12,31)</f>
        <v>43830</v>
      </c>
      <c r="Q24" s="201">
        <f>DATE(Q27+1911,1,1)</f>
        <v>43831</v>
      </c>
      <c r="R24" s="202">
        <f>R21</f>
        <v>44013</v>
      </c>
      <c r="S24" s="203">
        <f>S21</f>
        <v>44014</v>
      </c>
      <c r="T24" s="204">
        <f>DATE(Q27+1911,12,31)</f>
        <v>44196</v>
      </c>
      <c r="U24" s="216">
        <f>DATE(U27+1911,1,1)</f>
        <v>44197</v>
      </c>
      <c r="V24" s="197">
        <f>V21</f>
        <v>44378</v>
      </c>
      <c r="W24" s="198">
        <f>W21</f>
        <v>44379</v>
      </c>
      <c r="X24" s="217">
        <f>DATE(U27+1911,12,31)</f>
        <v>44561</v>
      </c>
      <c r="Y24" s="201">
        <f>DATE(Y27+1911,1,1)</f>
        <v>44562</v>
      </c>
      <c r="Z24" s="202">
        <f>Z21</f>
        <v>44743</v>
      </c>
      <c r="AA24" s="203">
        <f>AA21</f>
        <v>44744</v>
      </c>
      <c r="AB24" s="204">
        <f>DATE(Y27+1911,12,31)</f>
        <v>44926</v>
      </c>
      <c r="AC24" s="196">
        <f>DATE(AC27+1911,1,1)</f>
        <v>44927</v>
      </c>
      <c r="AD24" s="197">
        <f>AD21</f>
        <v>45108</v>
      </c>
      <c r="AE24" s="198">
        <f>AE21</f>
        <v>45109</v>
      </c>
      <c r="AF24" s="199">
        <f>DATE(AC27+1911,12,31)</f>
        <v>45291</v>
      </c>
      <c r="BJ24" s="1"/>
      <c r="BK24" s="1"/>
      <c r="BL24" s="1"/>
      <c r="BM24" s="1"/>
      <c r="BN24" s="1"/>
      <c r="BO24" s="1"/>
      <c r="BP24" s="1"/>
      <c r="BQ24" s="1"/>
      <c r="BR24" s="1"/>
      <c r="BS24" s="1"/>
      <c r="BT24" s="1"/>
      <c r="BU24" s="1"/>
      <c r="BV24" s="1"/>
      <c r="BW24" s="1"/>
      <c r="BX24" s="1"/>
      <c r="BY24" s="1"/>
    </row>
    <row r="25" spans="3:77" ht="22.25" customHeight="1" x14ac:dyDescent="0.4">
      <c r="C25" s="3">
        <v>20</v>
      </c>
      <c r="D25" s="5">
        <v>26</v>
      </c>
      <c r="F25" s="32"/>
      <c r="G25" s="32"/>
      <c r="H25" s="74" t="s">
        <v>181</v>
      </c>
      <c r="I25" s="418">
        <f>1-$T$4</f>
        <v>0.50268817204301075</v>
      </c>
      <c r="J25" s="419"/>
      <c r="K25" s="471">
        <f>$T$4</f>
        <v>0.49731182795698925</v>
      </c>
      <c r="L25" s="472"/>
      <c r="M25" s="406">
        <f>1-$T$4</f>
        <v>0.50268817204301075</v>
      </c>
      <c r="N25" s="407"/>
      <c r="O25" s="408">
        <f>$T$4</f>
        <v>0.49731182795698925</v>
      </c>
      <c r="P25" s="409"/>
      <c r="Q25" s="410">
        <f>1-$T$4</f>
        <v>0.50268817204301075</v>
      </c>
      <c r="R25" s="411"/>
      <c r="S25" s="412">
        <f>$T$4</f>
        <v>0.49731182795698925</v>
      </c>
      <c r="T25" s="413"/>
      <c r="U25" s="414">
        <f>1-$T$4</f>
        <v>0.50268817204301075</v>
      </c>
      <c r="V25" s="415"/>
      <c r="W25" s="416">
        <f>$T$4</f>
        <v>0.49731182795698925</v>
      </c>
      <c r="X25" s="417"/>
      <c r="Y25" s="418">
        <f>1-$T$4</f>
        <v>0.50268817204301075</v>
      </c>
      <c r="Z25" s="419"/>
      <c r="AA25" s="420">
        <f>$T$4</f>
        <v>0.49731182795698925</v>
      </c>
      <c r="AB25" s="421"/>
      <c r="AC25" s="421">
        <f>1-$T$4</f>
        <v>0.50268817204301075</v>
      </c>
      <c r="AD25" s="415"/>
      <c r="AE25" s="416">
        <f>$T$4</f>
        <v>0.49731182795698925</v>
      </c>
      <c r="AF25" s="418"/>
      <c r="BJ25" s="1"/>
      <c r="BK25" s="1"/>
      <c r="BL25" s="1"/>
      <c r="BM25" s="1"/>
      <c r="BN25" s="1"/>
      <c r="BO25" s="1"/>
      <c r="BP25" s="1"/>
      <c r="BQ25" s="1"/>
      <c r="BR25" s="1"/>
      <c r="BS25" s="1"/>
      <c r="BT25" s="1"/>
      <c r="BU25" s="1"/>
      <c r="BV25" s="1"/>
      <c r="BW25" s="1"/>
      <c r="BX25" s="1"/>
      <c r="BY25" s="1"/>
    </row>
    <row r="26" spans="3:77" ht="22.25" customHeight="1" x14ac:dyDescent="0.4">
      <c r="C26" s="3">
        <v>21</v>
      </c>
      <c r="D26" s="5">
        <v>27</v>
      </c>
      <c r="F26" s="422" t="s">
        <v>196</v>
      </c>
      <c r="G26" s="422"/>
      <c r="H26" s="422"/>
      <c r="I26" s="423">
        <f>IF(ISNA(I23-ROUND(I23*(1-I25),0)),0,I23-ROUND(I23*(1-I25),0))</f>
        <v>15</v>
      </c>
      <c r="J26" s="424"/>
      <c r="K26" s="389">
        <f>IF(ISNA(ROUND(K23*K25,0)),0,ROUND(K23*K25,0))</f>
        <v>15</v>
      </c>
      <c r="L26" s="390"/>
      <c r="M26" s="391">
        <f>K23-K26</f>
        <v>15</v>
      </c>
      <c r="N26" s="392"/>
      <c r="O26" s="393">
        <f>ROUND(O23*O25,0)</f>
        <v>15</v>
      </c>
      <c r="P26" s="394"/>
      <c r="Q26" s="395">
        <f>O23-O26</f>
        <v>15</v>
      </c>
      <c r="R26" s="396"/>
      <c r="S26" s="397">
        <f>ROUND(S23*S25,0)</f>
        <v>15</v>
      </c>
      <c r="T26" s="398"/>
      <c r="U26" s="399">
        <f>S23-S26</f>
        <v>15</v>
      </c>
      <c r="V26" s="400"/>
      <c r="W26" s="393">
        <f>ROUND(W23*W25,0)</f>
        <v>15</v>
      </c>
      <c r="X26" s="394"/>
      <c r="Y26" s="401">
        <f>W23-W26</f>
        <v>15</v>
      </c>
      <c r="Z26" s="402"/>
      <c r="AA26" s="440">
        <f>ROUND(AA23*AA25,0)</f>
        <v>15</v>
      </c>
      <c r="AB26" s="441"/>
      <c r="AC26" s="399">
        <f>AA23-AA26</f>
        <v>15</v>
      </c>
      <c r="AD26" s="400"/>
      <c r="AE26" s="442">
        <f>ROUND(AE23*AE25,0)</f>
        <v>15</v>
      </c>
      <c r="AF26" s="423"/>
      <c r="BJ26" s="1"/>
      <c r="BK26" s="1"/>
      <c r="BL26" s="1"/>
      <c r="BM26" s="1"/>
      <c r="BN26" s="1"/>
      <c r="BO26" s="1"/>
      <c r="BP26" s="1"/>
      <c r="BQ26" s="1"/>
      <c r="BR26" s="1"/>
      <c r="BS26" s="1"/>
      <c r="BT26" s="1"/>
      <c r="BU26" s="1"/>
      <c r="BV26" s="1"/>
      <c r="BW26" s="1"/>
      <c r="BX26" s="1"/>
      <c r="BY26" s="1"/>
    </row>
    <row r="27" spans="3:77" ht="22.25" customHeight="1" x14ac:dyDescent="0.4">
      <c r="C27" s="3">
        <v>22</v>
      </c>
      <c r="D27" s="5">
        <v>28</v>
      </c>
      <c r="F27" s="53"/>
      <c r="G27" s="422" t="s">
        <v>197</v>
      </c>
      <c r="H27" s="539"/>
      <c r="I27" s="451">
        <f>M2-2</f>
        <v>107</v>
      </c>
      <c r="J27" s="452"/>
      <c r="K27" s="453"/>
      <c r="L27" s="454"/>
      <c r="M27" s="403">
        <f>I27+1</f>
        <v>108</v>
      </c>
      <c r="N27" s="404"/>
      <c r="O27" s="404"/>
      <c r="P27" s="405"/>
      <c r="Q27" s="551">
        <f>M27+1</f>
        <v>109</v>
      </c>
      <c r="R27" s="552"/>
      <c r="S27" s="552"/>
      <c r="T27" s="553"/>
      <c r="U27" s="554">
        <f>Q27+1</f>
        <v>110</v>
      </c>
      <c r="V27" s="404"/>
      <c r="W27" s="404"/>
      <c r="X27" s="555"/>
      <c r="Y27" s="556">
        <f>U27+1</f>
        <v>111</v>
      </c>
      <c r="Z27" s="557"/>
      <c r="AA27" s="558"/>
      <c r="AB27" s="559"/>
      <c r="AC27" s="403">
        <f>Y27+1</f>
        <v>112</v>
      </c>
      <c r="AD27" s="404"/>
      <c r="AE27" s="404"/>
      <c r="AF27" s="405"/>
      <c r="BJ27" s="1"/>
      <c r="BK27" s="1"/>
      <c r="BL27" s="1"/>
      <c r="BM27" s="1"/>
      <c r="BN27" s="1"/>
      <c r="BO27" s="1"/>
      <c r="BP27" s="1"/>
      <c r="BQ27" s="1"/>
      <c r="BR27" s="1"/>
      <c r="BS27" s="1"/>
      <c r="BT27" s="1"/>
      <c r="BU27" s="1"/>
      <c r="BV27" s="1"/>
      <c r="BW27" s="1"/>
      <c r="BX27" s="1"/>
      <c r="BY27" s="1"/>
    </row>
    <row r="28" spans="3:77" ht="22.25" customHeight="1" x14ac:dyDescent="0.4">
      <c r="C28" s="3">
        <v>23</v>
      </c>
      <c r="D28" s="5">
        <v>29</v>
      </c>
      <c r="F28" s="422" t="s">
        <v>198</v>
      </c>
      <c r="G28" s="422"/>
      <c r="H28" s="431"/>
      <c r="I28" s="560">
        <f>I26+K26</f>
        <v>30</v>
      </c>
      <c r="J28" s="561"/>
      <c r="K28" s="561"/>
      <c r="L28" s="562"/>
      <c r="M28" s="563">
        <f>M26+O26</f>
        <v>30</v>
      </c>
      <c r="N28" s="564"/>
      <c r="O28" s="564"/>
      <c r="P28" s="565"/>
      <c r="Q28" s="566">
        <f>Q26+S26</f>
        <v>30</v>
      </c>
      <c r="R28" s="567"/>
      <c r="S28" s="567"/>
      <c r="T28" s="568"/>
      <c r="U28" s="569">
        <f>U26+W26</f>
        <v>30</v>
      </c>
      <c r="V28" s="564"/>
      <c r="W28" s="564"/>
      <c r="X28" s="570"/>
      <c r="Y28" s="560">
        <f>Y26+AA26</f>
        <v>30</v>
      </c>
      <c r="Z28" s="561"/>
      <c r="AA28" s="561"/>
      <c r="AB28" s="562"/>
      <c r="AC28" s="563">
        <f>AC26+AE26</f>
        <v>30</v>
      </c>
      <c r="AD28" s="564"/>
      <c r="AE28" s="564"/>
      <c r="AF28" s="565"/>
      <c r="BJ28" s="1"/>
      <c r="BK28" s="1"/>
      <c r="BL28" s="1"/>
      <c r="BM28" s="1"/>
      <c r="BN28" s="1"/>
      <c r="BO28" s="1"/>
      <c r="BP28" s="1"/>
      <c r="BQ28" s="1"/>
      <c r="BR28" s="1"/>
      <c r="BS28" s="1"/>
      <c r="BT28" s="1"/>
      <c r="BU28" s="1"/>
      <c r="BV28" s="1"/>
      <c r="BW28" s="1"/>
      <c r="BX28" s="1"/>
      <c r="BY28" s="1"/>
    </row>
    <row r="29" spans="3:77" ht="22.25" customHeight="1" thickBot="1" x14ac:dyDescent="0.45">
      <c r="C29" s="3">
        <v>24</v>
      </c>
      <c r="D29" s="5">
        <v>30</v>
      </c>
      <c r="F29" s="422" t="s">
        <v>197</v>
      </c>
      <c r="G29" s="422"/>
      <c r="H29" s="431"/>
      <c r="I29" s="540">
        <f>I27-$F$2</f>
        <v>27</v>
      </c>
      <c r="J29" s="541"/>
      <c r="K29" s="541"/>
      <c r="L29" s="542"/>
      <c r="M29" s="543">
        <f>M27-$F$2</f>
        <v>28</v>
      </c>
      <c r="N29" s="544"/>
      <c r="O29" s="544"/>
      <c r="P29" s="545"/>
      <c r="Q29" s="546">
        <f>Q27-$F$2</f>
        <v>29</v>
      </c>
      <c r="R29" s="547"/>
      <c r="S29" s="547"/>
      <c r="T29" s="548"/>
      <c r="U29" s="549">
        <f>U27-$F$2</f>
        <v>30</v>
      </c>
      <c r="V29" s="544"/>
      <c r="W29" s="544"/>
      <c r="X29" s="550"/>
      <c r="Y29" s="540">
        <f>Y27-$F$2</f>
        <v>31</v>
      </c>
      <c r="Z29" s="541"/>
      <c r="AA29" s="541"/>
      <c r="AB29" s="542"/>
      <c r="AC29" s="543">
        <f>AC27-$F$2</f>
        <v>32</v>
      </c>
      <c r="AD29" s="544"/>
      <c r="AE29" s="544"/>
      <c r="AF29" s="545"/>
      <c r="BJ29" s="1"/>
      <c r="BK29" s="1"/>
      <c r="BL29" s="1"/>
      <c r="BM29" s="1"/>
      <c r="BN29" s="1"/>
      <c r="BO29" s="1"/>
      <c r="BP29" s="1"/>
      <c r="BQ29" s="1"/>
      <c r="BR29" s="1"/>
      <c r="BS29" s="1"/>
      <c r="BT29" s="1"/>
      <c r="BU29" s="1"/>
      <c r="BV29" s="1"/>
      <c r="BW29" s="1"/>
      <c r="BX29" s="1"/>
      <c r="BY29" s="1"/>
    </row>
    <row r="30" spans="3:77" ht="22.25" customHeight="1" x14ac:dyDescent="0.4">
      <c r="C30" s="3">
        <v>25</v>
      </c>
      <c r="D30" s="4">
        <v>30</v>
      </c>
      <c r="I30" s="576" t="s">
        <v>199</v>
      </c>
      <c r="J30" s="576"/>
      <c r="K30" s="578" t="s">
        <v>131</v>
      </c>
      <c r="L30" s="578"/>
      <c r="M30" s="576" t="s">
        <v>199</v>
      </c>
      <c r="N30" s="576"/>
      <c r="O30" s="578" t="s">
        <v>131</v>
      </c>
      <c r="P30" s="578"/>
      <c r="Q30" s="577" t="s">
        <v>199</v>
      </c>
      <c r="R30" s="577"/>
      <c r="S30" s="577" t="s">
        <v>131</v>
      </c>
      <c r="T30" s="577"/>
      <c r="U30" s="576" t="s">
        <v>199</v>
      </c>
      <c r="V30" s="576"/>
      <c r="W30" s="578" t="s">
        <v>131</v>
      </c>
      <c r="X30" s="578"/>
      <c r="Y30" s="576" t="s">
        <v>199</v>
      </c>
      <c r="Z30" s="576"/>
      <c r="AA30" s="578" t="s">
        <v>131</v>
      </c>
      <c r="AB30" s="578"/>
      <c r="AC30" s="576" t="s">
        <v>199</v>
      </c>
      <c r="AD30" s="576"/>
      <c r="AE30" s="578" t="s">
        <v>131</v>
      </c>
      <c r="AF30" s="578"/>
      <c r="BJ30" s="1"/>
      <c r="BK30" s="1"/>
      <c r="BL30" s="1"/>
      <c r="BM30" s="1"/>
      <c r="BN30" s="1"/>
      <c r="BO30" s="1"/>
      <c r="BP30" s="1"/>
      <c r="BQ30" s="1"/>
      <c r="BR30" s="1"/>
      <c r="BS30" s="1"/>
      <c r="BT30" s="1"/>
      <c r="BU30" s="1"/>
      <c r="BV30" s="1"/>
      <c r="BW30" s="1"/>
      <c r="BX30" s="1"/>
      <c r="BY30" s="1"/>
    </row>
    <row r="31" spans="3:77" ht="22.25" customHeight="1" x14ac:dyDescent="0.4">
      <c r="K31" s="575" t="s">
        <v>187</v>
      </c>
      <c r="L31" s="575"/>
      <c r="M31"/>
      <c r="O31" s="575" t="str">
        <f>$K$31</f>
        <v>(四捨五入至整數)</v>
      </c>
      <c r="P31" s="575"/>
      <c r="Q31"/>
      <c r="S31" s="575" t="str">
        <f>$K$31</f>
        <v>(四捨五入至整數)</v>
      </c>
      <c r="T31" s="575"/>
      <c r="U31"/>
      <c r="W31" s="575" t="str">
        <f>$K$31</f>
        <v>(四捨五入至整數)</v>
      </c>
      <c r="X31" s="575"/>
      <c r="Y31"/>
      <c r="AA31" s="575" t="str">
        <f>$K$31</f>
        <v>(四捨五入至整數)</v>
      </c>
      <c r="AB31" s="575"/>
      <c r="AE31" s="575" t="str">
        <f>$K$31</f>
        <v>(四捨五入至整數)</v>
      </c>
      <c r="AF31" s="575"/>
    </row>
    <row r="37" spans="7:9" ht="22.25" customHeight="1" x14ac:dyDescent="0.4">
      <c r="G37" s="136"/>
      <c r="H37" s="136"/>
      <c r="I37" s="136"/>
    </row>
  </sheetData>
  <sheetProtection algorithmName="SHA-512" hashValue="GS5ZZw4BmxUqLRuxcs5i0svIGZJxGMKQwKyJsaxv58VeK5Ql1UOpFrdhPRrsPTmv+NUo4wEnTXTmex11Pn9LCg==" saltValue="L4neP9DLG/hsuZ31Z9xlkQ==" spinCount="100000" sheet="1" objects="1" scenarios="1" formatCells="0" autoFilter="0"/>
  <mergeCells count="156">
    <mergeCell ref="AM1:AN2"/>
    <mergeCell ref="AF2:AJ2"/>
    <mergeCell ref="AA30:AB30"/>
    <mergeCell ref="AC30:AD30"/>
    <mergeCell ref="AE30:AF30"/>
    <mergeCell ref="K31:L31"/>
    <mergeCell ref="O31:P31"/>
    <mergeCell ref="S31:T31"/>
    <mergeCell ref="W31:X31"/>
    <mergeCell ref="AA31:AB31"/>
    <mergeCell ref="AE31:AF31"/>
    <mergeCell ref="AA26:AB26"/>
    <mergeCell ref="AC26:AD26"/>
    <mergeCell ref="AE26:AF26"/>
    <mergeCell ref="O25:P25"/>
    <mergeCell ref="Q25:R25"/>
    <mergeCell ref="S25:T25"/>
    <mergeCell ref="U25:V25"/>
    <mergeCell ref="W25:X25"/>
    <mergeCell ref="Y25:Z25"/>
    <mergeCell ref="AA25:AB25"/>
    <mergeCell ref="AC25:AD25"/>
    <mergeCell ref="AE25:AF25"/>
    <mergeCell ref="M3:O3"/>
    <mergeCell ref="I30:J30"/>
    <mergeCell ref="K30:L30"/>
    <mergeCell ref="M30:N30"/>
    <mergeCell ref="O30:P30"/>
    <mergeCell ref="Q30:R30"/>
    <mergeCell ref="S30:T30"/>
    <mergeCell ref="U30:V30"/>
    <mergeCell ref="W30:X30"/>
    <mergeCell ref="Y30:Z30"/>
    <mergeCell ref="F28:H28"/>
    <mergeCell ref="I28:L28"/>
    <mergeCell ref="M28:P28"/>
    <mergeCell ref="Q28:T28"/>
    <mergeCell ref="U28:X28"/>
    <mergeCell ref="Y28:AB28"/>
    <mergeCell ref="AC28:AF28"/>
    <mergeCell ref="F29:H29"/>
    <mergeCell ref="I29:L29"/>
    <mergeCell ref="M29:P29"/>
    <mergeCell ref="Q29:T29"/>
    <mergeCell ref="U29:X29"/>
    <mergeCell ref="Y29:AB29"/>
    <mergeCell ref="AC29:AF29"/>
    <mergeCell ref="G27:H27"/>
    <mergeCell ref="I27:L27"/>
    <mergeCell ref="M27:P27"/>
    <mergeCell ref="Q27:T27"/>
    <mergeCell ref="U27:X27"/>
    <mergeCell ref="Y27:AB27"/>
    <mergeCell ref="AC27:AF27"/>
    <mergeCell ref="I26:J26"/>
    <mergeCell ref="K26:L26"/>
    <mergeCell ref="M26:N26"/>
    <mergeCell ref="O26:P26"/>
    <mergeCell ref="Q26:R26"/>
    <mergeCell ref="S26:T26"/>
    <mergeCell ref="U26:V26"/>
    <mergeCell ref="W26:X26"/>
    <mergeCell ref="Y26:Z26"/>
    <mergeCell ref="G15:I15"/>
    <mergeCell ref="S15:U15"/>
    <mergeCell ref="V16:W16"/>
    <mergeCell ref="W17:Y17"/>
    <mergeCell ref="J20:K20"/>
    <mergeCell ref="N20:O20"/>
    <mergeCell ref="R20:S20"/>
    <mergeCell ref="V20:W20"/>
    <mergeCell ref="Z20:AA20"/>
    <mergeCell ref="N17:O17"/>
    <mergeCell ref="G12:H12"/>
    <mergeCell ref="J12:M12"/>
    <mergeCell ref="N12:O12"/>
    <mergeCell ref="P12:R12"/>
    <mergeCell ref="S12:T12"/>
    <mergeCell ref="V12:Y12"/>
    <mergeCell ref="Z12:AA12"/>
    <mergeCell ref="AB12:AD12"/>
    <mergeCell ref="J13:K13"/>
    <mergeCell ref="P13:Q13"/>
    <mergeCell ref="V13:W13"/>
    <mergeCell ref="AB13:AC13"/>
    <mergeCell ref="F1:K1"/>
    <mergeCell ref="M1:O1"/>
    <mergeCell ref="R2:Y2"/>
    <mergeCell ref="H5:I5"/>
    <mergeCell ref="J5:K5"/>
    <mergeCell ref="T5:Y5"/>
    <mergeCell ref="F4:G4"/>
    <mergeCell ref="H4:I4"/>
    <mergeCell ref="J4:K4"/>
    <mergeCell ref="M4:O4"/>
    <mergeCell ref="R4:S4"/>
    <mergeCell ref="T4:U4"/>
    <mergeCell ref="V4:W4"/>
    <mergeCell ref="X4:Y4"/>
    <mergeCell ref="Z2:AA2"/>
    <mergeCell ref="F2:G2"/>
    <mergeCell ref="H2:I2"/>
    <mergeCell ref="J2:K2"/>
    <mergeCell ref="AB4:AC4"/>
    <mergeCell ref="AD4:AE4"/>
    <mergeCell ref="T3:U3"/>
    <mergeCell ref="V3:W3"/>
    <mergeCell ref="AB2:AE2"/>
    <mergeCell ref="Z4:AA4"/>
    <mergeCell ref="L10:M10"/>
    <mergeCell ref="N10:O10"/>
    <mergeCell ref="W10:Y10"/>
    <mergeCell ref="Z10:AA10"/>
    <mergeCell ref="AD3:AE3"/>
    <mergeCell ref="Z3:AA3"/>
    <mergeCell ref="L9:M9"/>
    <mergeCell ref="AB3:AC3"/>
    <mergeCell ref="F3:G3"/>
    <mergeCell ref="R3:S3"/>
    <mergeCell ref="X3:Y3"/>
    <mergeCell ref="H3:I3"/>
    <mergeCell ref="J3:K3"/>
    <mergeCell ref="Z9:AA9"/>
    <mergeCell ref="AB7:AC7"/>
    <mergeCell ref="AD9:AE9"/>
    <mergeCell ref="N9:O9"/>
    <mergeCell ref="R6:S6"/>
    <mergeCell ref="X7:AA7"/>
    <mergeCell ref="G9:H9"/>
    <mergeCell ref="Q9:R9"/>
    <mergeCell ref="S9:T9"/>
    <mergeCell ref="X9:Y9"/>
    <mergeCell ref="AE23:AF23"/>
    <mergeCell ref="F22:H22"/>
    <mergeCell ref="I22:J22"/>
    <mergeCell ref="AD20:AE20"/>
    <mergeCell ref="F26:H26"/>
    <mergeCell ref="G24:H24"/>
    <mergeCell ref="I25:J25"/>
    <mergeCell ref="K25:L25"/>
    <mergeCell ref="M25:N25"/>
    <mergeCell ref="AE22:AF22"/>
    <mergeCell ref="I23:J23"/>
    <mergeCell ref="F21:G21"/>
    <mergeCell ref="H21:I21"/>
    <mergeCell ref="K22:N22"/>
    <mergeCell ref="O22:R22"/>
    <mergeCell ref="S22:V22"/>
    <mergeCell ref="W22:Z22"/>
    <mergeCell ref="AA22:AD22"/>
    <mergeCell ref="F23:H23"/>
    <mergeCell ref="K23:N23"/>
    <mergeCell ref="O23:R23"/>
    <mergeCell ref="S23:V23"/>
    <mergeCell ref="W23:Z23"/>
    <mergeCell ref="AA23:AD23"/>
  </mergeCells>
  <phoneticPr fontId="1" type="noConversion"/>
  <dataValidations disablePrompts="1" count="1">
    <dataValidation type="list" allowBlank="1" showInputMessage="1" showErrorMessage="1" sqref="S15:U15 G15:I15 J16 K31:L31 AE31:AF31 W31:X31 AA31:AB31 S31:T31 O31:P31" xr:uid="{00000000-0002-0000-0600-000000000000}">
      <formula1>"強制進位至整數,(四捨五入至整數)"</formula1>
    </dataValidation>
  </dataValidations>
  <printOptions horizontalCentered="1"/>
  <pageMargins left="0.31496062992125984" right="0.31496062992125984" top="0.74803149606299213" bottom="0.74803149606299213" header="0.31496062992125984" footer="0.31496062992125984"/>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70C0"/>
  </sheetPr>
  <dimension ref="B2:X58"/>
  <sheetViews>
    <sheetView workbookViewId="0">
      <selection activeCell="K6" sqref="K6"/>
    </sheetView>
  </sheetViews>
  <sheetFormatPr defaultColWidth="8.6328125" defaultRowHeight="18.649999999999999" customHeight="1" x14ac:dyDescent="0.4"/>
  <cols>
    <col min="1" max="1" width="4.453125" style="374" customWidth="1"/>
    <col min="2" max="2" width="13.453125" style="374" bestFit="1" customWidth="1"/>
    <col min="3" max="3" width="12.6328125" style="374" bestFit="1" customWidth="1"/>
    <col min="4" max="4" width="11.08984375" style="374" customWidth="1"/>
    <col min="5" max="5" width="9.90625" style="374" bestFit="1" customWidth="1"/>
    <col min="6" max="6" width="8.90625" style="374" customWidth="1"/>
    <col min="7" max="7" width="10.90625" style="374" customWidth="1"/>
    <col min="8" max="8" width="11.08984375" style="374" bestFit="1" customWidth="1"/>
    <col min="9" max="9" width="8.90625" style="374" bestFit="1" customWidth="1"/>
    <col min="10" max="10" width="8.90625" style="21" customWidth="1"/>
    <col min="11" max="15" width="10.08984375" style="21" customWidth="1"/>
    <col min="16" max="24" width="8.6328125" style="21"/>
    <col min="25" max="259" width="8.6328125" style="374"/>
    <col min="260" max="260" width="16.453125" style="374" bestFit="1" customWidth="1"/>
    <col min="261" max="261" width="6.6328125" style="374" bestFit="1" customWidth="1"/>
    <col min="262" max="262" width="13.453125" style="374" bestFit="1" customWidth="1"/>
    <col min="263" max="263" width="12.6328125" style="374" bestFit="1" customWidth="1"/>
    <col min="264" max="264" width="11.08984375" style="374" customWidth="1"/>
    <col min="265" max="265" width="9.90625" style="374" bestFit="1" customWidth="1"/>
    <col min="266" max="267" width="8.90625" style="374" customWidth="1"/>
    <col min="268" max="268" width="11.08984375" style="374" bestFit="1" customWidth="1"/>
    <col min="269" max="269" width="8.90625" style="374" bestFit="1" customWidth="1"/>
    <col min="270" max="271" width="10.08984375" style="374" customWidth="1"/>
    <col min="272" max="515" width="8.6328125" style="374"/>
    <col min="516" max="516" width="16.453125" style="374" bestFit="1" customWidth="1"/>
    <col min="517" max="517" width="6.6328125" style="374" bestFit="1" customWidth="1"/>
    <col min="518" max="518" width="13.453125" style="374" bestFit="1" customWidth="1"/>
    <col min="519" max="519" width="12.6328125" style="374" bestFit="1" customWidth="1"/>
    <col min="520" max="520" width="11.08984375" style="374" customWidth="1"/>
    <col min="521" max="521" width="9.90625" style="374" bestFit="1" customWidth="1"/>
    <col min="522" max="523" width="8.90625" style="374" customWidth="1"/>
    <col min="524" max="524" width="11.08984375" style="374" bestFit="1" customWidth="1"/>
    <col min="525" max="525" width="8.90625" style="374" bestFit="1" customWidth="1"/>
    <col min="526" max="527" width="10.08984375" style="374" customWidth="1"/>
    <col min="528" max="771" width="8.6328125" style="374"/>
    <col min="772" max="772" width="16.453125" style="374" bestFit="1" customWidth="1"/>
    <col min="773" max="773" width="6.6328125" style="374" bestFit="1" customWidth="1"/>
    <col min="774" max="774" width="13.453125" style="374" bestFit="1" customWidth="1"/>
    <col min="775" max="775" width="12.6328125" style="374" bestFit="1" customWidth="1"/>
    <col min="776" max="776" width="11.08984375" style="374" customWidth="1"/>
    <col min="777" max="777" width="9.90625" style="374" bestFit="1" customWidth="1"/>
    <col min="778" max="779" width="8.90625" style="374" customWidth="1"/>
    <col min="780" max="780" width="11.08984375" style="374" bestFit="1" customWidth="1"/>
    <col min="781" max="781" width="8.90625" style="374" bestFit="1" customWidth="1"/>
    <col min="782" max="783" width="10.08984375" style="374" customWidth="1"/>
    <col min="784" max="1027" width="8.6328125" style="374"/>
    <col min="1028" max="1028" width="16.453125" style="374" bestFit="1" customWidth="1"/>
    <col min="1029" max="1029" width="6.6328125" style="374" bestFit="1" customWidth="1"/>
    <col min="1030" max="1030" width="13.453125" style="374" bestFit="1" customWidth="1"/>
    <col min="1031" max="1031" width="12.6328125" style="374" bestFit="1" customWidth="1"/>
    <col min="1032" max="1032" width="11.08984375" style="374" customWidth="1"/>
    <col min="1033" max="1033" width="9.90625" style="374" bestFit="1" customWidth="1"/>
    <col min="1034" max="1035" width="8.90625" style="374" customWidth="1"/>
    <col min="1036" max="1036" width="11.08984375" style="374" bestFit="1" customWidth="1"/>
    <col min="1037" max="1037" width="8.90625" style="374" bestFit="1" customWidth="1"/>
    <col min="1038" max="1039" width="10.08984375" style="374" customWidth="1"/>
    <col min="1040" max="1283" width="8.6328125" style="374"/>
    <col min="1284" max="1284" width="16.453125" style="374" bestFit="1" customWidth="1"/>
    <col min="1285" max="1285" width="6.6328125" style="374" bestFit="1" customWidth="1"/>
    <col min="1286" max="1286" width="13.453125" style="374" bestFit="1" customWidth="1"/>
    <col min="1287" max="1287" width="12.6328125" style="374" bestFit="1" customWidth="1"/>
    <col min="1288" max="1288" width="11.08984375" style="374" customWidth="1"/>
    <col min="1289" max="1289" width="9.90625" style="374" bestFit="1" customWidth="1"/>
    <col min="1290" max="1291" width="8.90625" style="374" customWidth="1"/>
    <col min="1292" max="1292" width="11.08984375" style="374" bestFit="1" customWidth="1"/>
    <col min="1293" max="1293" width="8.90625" style="374" bestFit="1" customWidth="1"/>
    <col min="1294" max="1295" width="10.08984375" style="374" customWidth="1"/>
    <col min="1296" max="1539" width="8.6328125" style="374"/>
    <col min="1540" max="1540" width="16.453125" style="374" bestFit="1" customWidth="1"/>
    <col min="1541" max="1541" width="6.6328125" style="374" bestFit="1" customWidth="1"/>
    <col min="1542" max="1542" width="13.453125" style="374" bestFit="1" customWidth="1"/>
    <col min="1543" max="1543" width="12.6328125" style="374" bestFit="1" customWidth="1"/>
    <col min="1544" max="1544" width="11.08984375" style="374" customWidth="1"/>
    <col min="1545" max="1545" width="9.90625" style="374" bestFit="1" customWidth="1"/>
    <col min="1546" max="1547" width="8.90625" style="374" customWidth="1"/>
    <col min="1548" max="1548" width="11.08984375" style="374" bestFit="1" customWidth="1"/>
    <col min="1549" max="1549" width="8.90625" style="374" bestFit="1" customWidth="1"/>
    <col min="1550" max="1551" width="10.08984375" style="374" customWidth="1"/>
    <col min="1552" max="1795" width="8.6328125" style="374"/>
    <col min="1796" max="1796" width="16.453125" style="374" bestFit="1" customWidth="1"/>
    <col min="1797" max="1797" width="6.6328125" style="374" bestFit="1" customWidth="1"/>
    <col min="1798" max="1798" width="13.453125" style="374" bestFit="1" customWidth="1"/>
    <col min="1799" max="1799" width="12.6328125" style="374" bestFit="1" customWidth="1"/>
    <col min="1800" max="1800" width="11.08984375" style="374" customWidth="1"/>
    <col min="1801" max="1801" width="9.90625" style="374" bestFit="1" customWidth="1"/>
    <col min="1802" max="1803" width="8.90625" style="374" customWidth="1"/>
    <col min="1804" max="1804" width="11.08984375" style="374" bestFit="1" customWidth="1"/>
    <col min="1805" max="1805" width="8.90625" style="374" bestFit="1" customWidth="1"/>
    <col min="1806" max="1807" width="10.08984375" style="374" customWidth="1"/>
    <col min="1808" max="2051" width="8.6328125" style="374"/>
    <col min="2052" max="2052" width="16.453125" style="374" bestFit="1" customWidth="1"/>
    <col min="2053" max="2053" width="6.6328125" style="374" bestFit="1" customWidth="1"/>
    <col min="2054" max="2054" width="13.453125" style="374" bestFit="1" customWidth="1"/>
    <col min="2055" max="2055" width="12.6328125" style="374" bestFit="1" customWidth="1"/>
    <col min="2056" max="2056" width="11.08984375" style="374" customWidth="1"/>
    <col min="2057" max="2057" width="9.90625" style="374" bestFit="1" customWidth="1"/>
    <col min="2058" max="2059" width="8.90625" style="374" customWidth="1"/>
    <col min="2060" max="2060" width="11.08984375" style="374" bestFit="1" customWidth="1"/>
    <col min="2061" max="2061" width="8.90625" style="374" bestFit="1" customWidth="1"/>
    <col min="2062" max="2063" width="10.08984375" style="374" customWidth="1"/>
    <col min="2064" max="2307" width="8.6328125" style="374"/>
    <col min="2308" max="2308" width="16.453125" style="374" bestFit="1" customWidth="1"/>
    <col min="2309" max="2309" width="6.6328125" style="374" bestFit="1" customWidth="1"/>
    <col min="2310" max="2310" width="13.453125" style="374" bestFit="1" customWidth="1"/>
    <col min="2311" max="2311" width="12.6328125" style="374" bestFit="1" customWidth="1"/>
    <col min="2312" max="2312" width="11.08984375" style="374" customWidth="1"/>
    <col min="2313" max="2313" width="9.90625" style="374" bestFit="1" customWidth="1"/>
    <col min="2314" max="2315" width="8.90625" style="374" customWidth="1"/>
    <col min="2316" max="2316" width="11.08984375" style="374" bestFit="1" customWidth="1"/>
    <col min="2317" max="2317" width="8.90625" style="374" bestFit="1" customWidth="1"/>
    <col min="2318" max="2319" width="10.08984375" style="374" customWidth="1"/>
    <col min="2320" max="2563" width="8.6328125" style="374"/>
    <col min="2564" max="2564" width="16.453125" style="374" bestFit="1" customWidth="1"/>
    <col min="2565" max="2565" width="6.6328125" style="374" bestFit="1" customWidth="1"/>
    <col min="2566" max="2566" width="13.453125" style="374" bestFit="1" customWidth="1"/>
    <col min="2567" max="2567" width="12.6328125" style="374" bestFit="1" customWidth="1"/>
    <col min="2568" max="2568" width="11.08984375" style="374" customWidth="1"/>
    <col min="2569" max="2569" width="9.90625" style="374" bestFit="1" customWidth="1"/>
    <col min="2570" max="2571" width="8.90625" style="374" customWidth="1"/>
    <col min="2572" max="2572" width="11.08984375" style="374" bestFit="1" customWidth="1"/>
    <col min="2573" max="2573" width="8.90625" style="374" bestFit="1" customWidth="1"/>
    <col min="2574" max="2575" width="10.08984375" style="374" customWidth="1"/>
    <col min="2576" max="2819" width="8.6328125" style="374"/>
    <col min="2820" max="2820" width="16.453125" style="374" bestFit="1" customWidth="1"/>
    <col min="2821" max="2821" width="6.6328125" style="374" bestFit="1" customWidth="1"/>
    <col min="2822" max="2822" width="13.453125" style="374" bestFit="1" customWidth="1"/>
    <col min="2823" max="2823" width="12.6328125" style="374" bestFit="1" customWidth="1"/>
    <col min="2824" max="2824" width="11.08984375" style="374" customWidth="1"/>
    <col min="2825" max="2825" width="9.90625" style="374" bestFit="1" customWidth="1"/>
    <col min="2826" max="2827" width="8.90625" style="374" customWidth="1"/>
    <col min="2828" max="2828" width="11.08984375" style="374" bestFit="1" customWidth="1"/>
    <col min="2829" max="2829" width="8.90625" style="374" bestFit="1" customWidth="1"/>
    <col min="2830" max="2831" width="10.08984375" style="374" customWidth="1"/>
    <col min="2832" max="3075" width="8.6328125" style="374"/>
    <col min="3076" max="3076" width="16.453125" style="374" bestFit="1" customWidth="1"/>
    <col min="3077" max="3077" width="6.6328125" style="374" bestFit="1" customWidth="1"/>
    <col min="3078" max="3078" width="13.453125" style="374" bestFit="1" customWidth="1"/>
    <col min="3079" max="3079" width="12.6328125" style="374" bestFit="1" customWidth="1"/>
    <col min="3080" max="3080" width="11.08984375" style="374" customWidth="1"/>
    <col min="3081" max="3081" width="9.90625" style="374" bestFit="1" customWidth="1"/>
    <col min="3082" max="3083" width="8.90625" style="374" customWidth="1"/>
    <col min="3084" max="3084" width="11.08984375" style="374" bestFit="1" customWidth="1"/>
    <col min="3085" max="3085" width="8.90625" style="374" bestFit="1" customWidth="1"/>
    <col min="3086" max="3087" width="10.08984375" style="374" customWidth="1"/>
    <col min="3088" max="3331" width="8.6328125" style="374"/>
    <col min="3332" max="3332" width="16.453125" style="374" bestFit="1" customWidth="1"/>
    <col min="3333" max="3333" width="6.6328125" style="374" bestFit="1" customWidth="1"/>
    <col min="3334" max="3334" width="13.453125" style="374" bestFit="1" customWidth="1"/>
    <col min="3335" max="3335" width="12.6328125" style="374" bestFit="1" customWidth="1"/>
    <col min="3336" max="3336" width="11.08984375" style="374" customWidth="1"/>
    <col min="3337" max="3337" width="9.90625" style="374" bestFit="1" customWidth="1"/>
    <col min="3338" max="3339" width="8.90625" style="374" customWidth="1"/>
    <col min="3340" max="3340" width="11.08984375" style="374" bestFit="1" customWidth="1"/>
    <col min="3341" max="3341" width="8.90625" style="374" bestFit="1" customWidth="1"/>
    <col min="3342" max="3343" width="10.08984375" style="374" customWidth="1"/>
    <col min="3344" max="3587" width="8.6328125" style="374"/>
    <col min="3588" max="3588" width="16.453125" style="374" bestFit="1" customWidth="1"/>
    <col min="3589" max="3589" width="6.6328125" style="374" bestFit="1" customWidth="1"/>
    <col min="3590" max="3590" width="13.453125" style="374" bestFit="1" customWidth="1"/>
    <col min="3591" max="3591" width="12.6328125" style="374" bestFit="1" customWidth="1"/>
    <col min="3592" max="3592" width="11.08984375" style="374" customWidth="1"/>
    <col min="3593" max="3593" width="9.90625" style="374" bestFit="1" customWidth="1"/>
    <col min="3594" max="3595" width="8.90625" style="374" customWidth="1"/>
    <col min="3596" max="3596" width="11.08984375" style="374" bestFit="1" customWidth="1"/>
    <col min="3597" max="3597" width="8.90625" style="374" bestFit="1" customWidth="1"/>
    <col min="3598" max="3599" width="10.08984375" style="374" customWidth="1"/>
    <col min="3600" max="3843" width="8.6328125" style="374"/>
    <col min="3844" max="3844" width="16.453125" style="374" bestFit="1" customWidth="1"/>
    <col min="3845" max="3845" width="6.6328125" style="374" bestFit="1" customWidth="1"/>
    <col min="3846" max="3846" width="13.453125" style="374" bestFit="1" customWidth="1"/>
    <col min="3847" max="3847" width="12.6328125" style="374" bestFit="1" customWidth="1"/>
    <col min="3848" max="3848" width="11.08984375" style="374" customWidth="1"/>
    <col min="3849" max="3849" width="9.90625" style="374" bestFit="1" customWidth="1"/>
    <col min="3850" max="3851" width="8.90625" style="374" customWidth="1"/>
    <col min="3852" max="3852" width="11.08984375" style="374" bestFit="1" customWidth="1"/>
    <col min="3853" max="3853" width="8.90625" style="374" bestFit="1" customWidth="1"/>
    <col min="3854" max="3855" width="10.08984375" style="374" customWidth="1"/>
    <col min="3856" max="4099" width="8.6328125" style="374"/>
    <col min="4100" max="4100" width="16.453125" style="374" bestFit="1" customWidth="1"/>
    <col min="4101" max="4101" width="6.6328125" style="374" bestFit="1" customWidth="1"/>
    <col min="4102" max="4102" width="13.453125" style="374" bestFit="1" customWidth="1"/>
    <col min="4103" max="4103" width="12.6328125" style="374" bestFit="1" customWidth="1"/>
    <col min="4104" max="4104" width="11.08984375" style="374" customWidth="1"/>
    <col min="4105" max="4105" width="9.90625" style="374" bestFit="1" customWidth="1"/>
    <col min="4106" max="4107" width="8.90625" style="374" customWidth="1"/>
    <col min="4108" max="4108" width="11.08984375" style="374" bestFit="1" customWidth="1"/>
    <col min="4109" max="4109" width="8.90625" style="374" bestFit="1" customWidth="1"/>
    <col min="4110" max="4111" width="10.08984375" style="374" customWidth="1"/>
    <col min="4112" max="4355" width="8.6328125" style="374"/>
    <col min="4356" max="4356" width="16.453125" style="374" bestFit="1" customWidth="1"/>
    <col min="4357" max="4357" width="6.6328125" style="374" bestFit="1" customWidth="1"/>
    <col min="4358" max="4358" width="13.453125" style="374" bestFit="1" customWidth="1"/>
    <col min="4359" max="4359" width="12.6328125" style="374" bestFit="1" customWidth="1"/>
    <col min="4360" max="4360" width="11.08984375" style="374" customWidth="1"/>
    <col min="4361" max="4361" width="9.90625" style="374" bestFit="1" customWidth="1"/>
    <col min="4362" max="4363" width="8.90625" style="374" customWidth="1"/>
    <col min="4364" max="4364" width="11.08984375" style="374" bestFit="1" customWidth="1"/>
    <col min="4365" max="4365" width="8.90625" style="374" bestFit="1" customWidth="1"/>
    <col min="4366" max="4367" width="10.08984375" style="374" customWidth="1"/>
    <col min="4368" max="4611" width="8.6328125" style="374"/>
    <col min="4612" max="4612" width="16.453125" style="374" bestFit="1" customWidth="1"/>
    <col min="4613" max="4613" width="6.6328125" style="374" bestFit="1" customWidth="1"/>
    <col min="4614" max="4614" width="13.453125" style="374" bestFit="1" customWidth="1"/>
    <col min="4615" max="4615" width="12.6328125" style="374" bestFit="1" customWidth="1"/>
    <col min="4616" max="4616" width="11.08984375" style="374" customWidth="1"/>
    <col min="4617" max="4617" width="9.90625" style="374" bestFit="1" customWidth="1"/>
    <col min="4618" max="4619" width="8.90625" style="374" customWidth="1"/>
    <col min="4620" max="4620" width="11.08984375" style="374" bestFit="1" customWidth="1"/>
    <col min="4621" max="4621" width="8.90625" style="374" bestFit="1" customWidth="1"/>
    <col min="4622" max="4623" width="10.08984375" style="374" customWidth="1"/>
    <col min="4624" max="4867" width="8.6328125" style="374"/>
    <col min="4868" max="4868" width="16.453125" style="374" bestFit="1" customWidth="1"/>
    <col min="4869" max="4869" width="6.6328125" style="374" bestFit="1" customWidth="1"/>
    <col min="4870" max="4870" width="13.453125" style="374" bestFit="1" customWidth="1"/>
    <col min="4871" max="4871" width="12.6328125" style="374" bestFit="1" customWidth="1"/>
    <col min="4872" max="4872" width="11.08984375" style="374" customWidth="1"/>
    <col min="4873" max="4873" width="9.90625" style="374" bestFit="1" customWidth="1"/>
    <col min="4874" max="4875" width="8.90625" style="374" customWidth="1"/>
    <col min="4876" max="4876" width="11.08984375" style="374" bestFit="1" customWidth="1"/>
    <col min="4877" max="4877" width="8.90625" style="374" bestFit="1" customWidth="1"/>
    <col min="4878" max="4879" width="10.08984375" style="374" customWidth="1"/>
    <col min="4880" max="5123" width="8.6328125" style="374"/>
    <col min="5124" max="5124" width="16.453125" style="374" bestFit="1" customWidth="1"/>
    <col min="5125" max="5125" width="6.6328125" style="374" bestFit="1" customWidth="1"/>
    <col min="5126" max="5126" width="13.453125" style="374" bestFit="1" customWidth="1"/>
    <col min="5127" max="5127" width="12.6328125" style="374" bestFit="1" customWidth="1"/>
    <col min="5128" max="5128" width="11.08984375" style="374" customWidth="1"/>
    <col min="5129" max="5129" width="9.90625" style="374" bestFit="1" customWidth="1"/>
    <col min="5130" max="5131" width="8.90625" style="374" customWidth="1"/>
    <col min="5132" max="5132" width="11.08984375" style="374" bestFit="1" customWidth="1"/>
    <col min="5133" max="5133" width="8.90625" style="374" bestFit="1" customWidth="1"/>
    <col min="5134" max="5135" width="10.08984375" style="374" customWidth="1"/>
    <col min="5136" max="5379" width="8.6328125" style="374"/>
    <col min="5380" max="5380" width="16.453125" style="374" bestFit="1" customWidth="1"/>
    <col min="5381" max="5381" width="6.6328125" style="374" bestFit="1" customWidth="1"/>
    <col min="5382" max="5382" width="13.453125" style="374" bestFit="1" customWidth="1"/>
    <col min="5383" max="5383" width="12.6328125" style="374" bestFit="1" customWidth="1"/>
    <col min="5384" max="5384" width="11.08984375" style="374" customWidth="1"/>
    <col min="5385" max="5385" width="9.90625" style="374" bestFit="1" customWidth="1"/>
    <col min="5386" max="5387" width="8.90625" style="374" customWidth="1"/>
    <col min="5388" max="5388" width="11.08984375" style="374" bestFit="1" customWidth="1"/>
    <col min="5389" max="5389" width="8.90625" style="374" bestFit="1" customWidth="1"/>
    <col min="5390" max="5391" width="10.08984375" style="374" customWidth="1"/>
    <col min="5392" max="5635" width="8.6328125" style="374"/>
    <col min="5636" max="5636" width="16.453125" style="374" bestFit="1" customWidth="1"/>
    <col min="5637" max="5637" width="6.6328125" style="374" bestFit="1" customWidth="1"/>
    <col min="5638" max="5638" width="13.453125" style="374" bestFit="1" customWidth="1"/>
    <col min="5639" max="5639" width="12.6328125" style="374" bestFit="1" customWidth="1"/>
    <col min="5640" max="5640" width="11.08984375" style="374" customWidth="1"/>
    <col min="5641" max="5641" width="9.90625" style="374" bestFit="1" customWidth="1"/>
    <col min="5642" max="5643" width="8.90625" style="374" customWidth="1"/>
    <col min="5644" max="5644" width="11.08984375" style="374" bestFit="1" customWidth="1"/>
    <col min="5645" max="5645" width="8.90625" style="374" bestFit="1" customWidth="1"/>
    <col min="5646" max="5647" width="10.08984375" style="374" customWidth="1"/>
    <col min="5648" max="5891" width="8.6328125" style="374"/>
    <col min="5892" max="5892" width="16.453125" style="374" bestFit="1" customWidth="1"/>
    <col min="5893" max="5893" width="6.6328125" style="374" bestFit="1" customWidth="1"/>
    <col min="5894" max="5894" width="13.453125" style="374" bestFit="1" customWidth="1"/>
    <col min="5895" max="5895" width="12.6328125" style="374" bestFit="1" customWidth="1"/>
    <col min="5896" max="5896" width="11.08984375" style="374" customWidth="1"/>
    <col min="5897" max="5897" width="9.90625" style="374" bestFit="1" customWidth="1"/>
    <col min="5898" max="5899" width="8.90625" style="374" customWidth="1"/>
    <col min="5900" max="5900" width="11.08984375" style="374" bestFit="1" customWidth="1"/>
    <col min="5901" max="5901" width="8.90625" style="374" bestFit="1" customWidth="1"/>
    <col min="5902" max="5903" width="10.08984375" style="374" customWidth="1"/>
    <col min="5904" max="6147" width="8.6328125" style="374"/>
    <col min="6148" max="6148" width="16.453125" style="374" bestFit="1" customWidth="1"/>
    <col min="6149" max="6149" width="6.6328125" style="374" bestFit="1" customWidth="1"/>
    <col min="6150" max="6150" width="13.453125" style="374" bestFit="1" customWidth="1"/>
    <col min="6151" max="6151" width="12.6328125" style="374" bestFit="1" customWidth="1"/>
    <col min="6152" max="6152" width="11.08984375" style="374" customWidth="1"/>
    <col min="6153" max="6153" width="9.90625" style="374" bestFit="1" customWidth="1"/>
    <col min="6154" max="6155" width="8.90625" style="374" customWidth="1"/>
    <col min="6156" max="6156" width="11.08984375" style="374" bestFit="1" customWidth="1"/>
    <col min="6157" max="6157" width="8.90625" style="374" bestFit="1" customWidth="1"/>
    <col min="6158" max="6159" width="10.08984375" style="374" customWidth="1"/>
    <col min="6160" max="6403" width="8.6328125" style="374"/>
    <col min="6404" max="6404" width="16.453125" style="374" bestFit="1" customWidth="1"/>
    <col min="6405" max="6405" width="6.6328125" style="374" bestFit="1" customWidth="1"/>
    <col min="6406" max="6406" width="13.453125" style="374" bestFit="1" customWidth="1"/>
    <col min="6407" max="6407" width="12.6328125" style="374" bestFit="1" customWidth="1"/>
    <col min="6408" max="6408" width="11.08984375" style="374" customWidth="1"/>
    <col min="6409" max="6409" width="9.90625" style="374" bestFit="1" customWidth="1"/>
    <col min="6410" max="6411" width="8.90625" style="374" customWidth="1"/>
    <col min="6412" max="6412" width="11.08984375" style="374" bestFit="1" customWidth="1"/>
    <col min="6413" max="6413" width="8.90625" style="374" bestFit="1" customWidth="1"/>
    <col min="6414" max="6415" width="10.08984375" style="374" customWidth="1"/>
    <col min="6416" max="6659" width="8.6328125" style="374"/>
    <col min="6660" max="6660" width="16.453125" style="374" bestFit="1" customWidth="1"/>
    <col min="6661" max="6661" width="6.6328125" style="374" bestFit="1" customWidth="1"/>
    <col min="6662" max="6662" width="13.453125" style="374" bestFit="1" customWidth="1"/>
    <col min="6663" max="6663" width="12.6328125" style="374" bestFit="1" customWidth="1"/>
    <col min="6664" max="6664" width="11.08984375" style="374" customWidth="1"/>
    <col min="6665" max="6665" width="9.90625" style="374" bestFit="1" customWidth="1"/>
    <col min="6666" max="6667" width="8.90625" style="374" customWidth="1"/>
    <col min="6668" max="6668" width="11.08984375" style="374" bestFit="1" customWidth="1"/>
    <col min="6669" max="6669" width="8.90625" style="374" bestFit="1" customWidth="1"/>
    <col min="6670" max="6671" width="10.08984375" style="374" customWidth="1"/>
    <col min="6672" max="6915" width="8.6328125" style="374"/>
    <col min="6916" max="6916" width="16.453125" style="374" bestFit="1" customWidth="1"/>
    <col min="6917" max="6917" width="6.6328125" style="374" bestFit="1" customWidth="1"/>
    <col min="6918" max="6918" width="13.453125" style="374" bestFit="1" customWidth="1"/>
    <col min="6919" max="6919" width="12.6328125" style="374" bestFit="1" customWidth="1"/>
    <col min="6920" max="6920" width="11.08984375" style="374" customWidth="1"/>
    <col min="6921" max="6921" width="9.90625" style="374" bestFit="1" customWidth="1"/>
    <col min="6922" max="6923" width="8.90625" style="374" customWidth="1"/>
    <col min="6924" max="6924" width="11.08984375" style="374" bestFit="1" customWidth="1"/>
    <col min="6925" max="6925" width="8.90625" style="374" bestFit="1" customWidth="1"/>
    <col min="6926" max="6927" width="10.08984375" style="374" customWidth="1"/>
    <col min="6928" max="7171" width="8.6328125" style="374"/>
    <col min="7172" max="7172" width="16.453125" style="374" bestFit="1" customWidth="1"/>
    <col min="7173" max="7173" width="6.6328125" style="374" bestFit="1" customWidth="1"/>
    <col min="7174" max="7174" width="13.453125" style="374" bestFit="1" customWidth="1"/>
    <col min="7175" max="7175" width="12.6328125" style="374" bestFit="1" customWidth="1"/>
    <col min="7176" max="7176" width="11.08984375" style="374" customWidth="1"/>
    <col min="7177" max="7177" width="9.90625" style="374" bestFit="1" customWidth="1"/>
    <col min="7178" max="7179" width="8.90625" style="374" customWidth="1"/>
    <col min="7180" max="7180" width="11.08984375" style="374" bestFit="1" customWidth="1"/>
    <col min="7181" max="7181" width="8.90625" style="374" bestFit="1" customWidth="1"/>
    <col min="7182" max="7183" width="10.08984375" style="374" customWidth="1"/>
    <col min="7184" max="7427" width="8.6328125" style="374"/>
    <col min="7428" max="7428" width="16.453125" style="374" bestFit="1" customWidth="1"/>
    <col min="7429" max="7429" width="6.6328125" style="374" bestFit="1" customWidth="1"/>
    <col min="7430" max="7430" width="13.453125" style="374" bestFit="1" customWidth="1"/>
    <col min="7431" max="7431" width="12.6328125" style="374" bestFit="1" customWidth="1"/>
    <col min="7432" max="7432" width="11.08984375" style="374" customWidth="1"/>
    <col min="7433" max="7433" width="9.90625" style="374" bestFit="1" customWidth="1"/>
    <col min="7434" max="7435" width="8.90625" style="374" customWidth="1"/>
    <col min="7436" max="7436" width="11.08984375" style="374" bestFit="1" customWidth="1"/>
    <col min="7437" max="7437" width="8.90625" style="374" bestFit="1" customWidth="1"/>
    <col min="7438" max="7439" width="10.08984375" style="374" customWidth="1"/>
    <col min="7440" max="7683" width="8.6328125" style="374"/>
    <col min="7684" max="7684" width="16.453125" style="374" bestFit="1" customWidth="1"/>
    <col min="7685" max="7685" width="6.6328125" style="374" bestFit="1" customWidth="1"/>
    <col min="7686" max="7686" width="13.453125" style="374" bestFit="1" customWidth="1"/>
    <col min="7687" max="7687" width="12.6328125" style="374" bestFit="1" customWidth="1"/>
    <col min="7688" max="7688" width="11.08984375" style="374" customWidth="1"/>
    <col min="7689" max="7689" width="9.90625" style="374" bestFit="1" customWidth="1"/>
    <col min="7690" max="7691" width="8.90625" style="374" customWidth="1"/>
    <col min="7692" max="7692" width="11.08984375" style="374" bestFit="1" customWidth="1"/>
    <col min="7693" max="7693" width="8.90625" style="374" bestFit="1" customWidth="1"/>
    <col min="7694" max="7695" width="10.08984375" style="374" customWidth="1"/>
    <col min="7696" max="7939" width="8.6328125" style="374"/>
    <col min="7940" max="7940" width="16.453125" style="374" bestFit="1" customWidth="1"/>
    <col min="7941" max="7941" width="6.6328125" style="374" bestFit="1" customWidth="1"/>
    <col min="7942" max="7942" width="13.453125" style="374" bestFit="1" customWidth="1"/>
    <col min="7943" max="7943" width="12.6328125" style="374" bestFit="1" customWidth="1"/>
    <col min="7944" max="7944" width="11.08984375" style="374" customWidth="1"/>
    <col min="7945" max="7945" width="9.90625" style="374" bestFit="1" customWidth="1"/>
    <col min="7946" max="7947" width="8.90625" style="374" customWidth="1"/>
    <col min="7948" max="7948" width="11.08984375" style="374" bestFit="1" customWidth="1"/>
    <col min="7949" max="7949" width="8.90625" style="374" bestFit="1" customWidth="1"/>
    <col min="7950" max="7951" width="10.08984375" style="374" customWidth="1"/>
    <col min="7952" max="8195" width="8.6328125" style="374"/>
    <col min="8196" max="8196" width="16.453125" style="374" bestFit="1" customWidth="1"/>
    <col min="8197" max="8197" width="6.6328125" style="374" bestFit="1" customWidth="1"/>
    <col min="8198" max="8198" width="13.453125" style="374" bestFit="1" customWidth="1"/>
    <col min="8199" max="8199" width="12.6328125" style="374" bestFit="1" customWidth="1"/>
    <col min="8200" max="8200" width="11.08984375" style="374" customWidth="1"/>
    <col min="8201" max="8201" width="9.90625" style="374" bestFit="1" customWidth="1"/>
    <col min="8202" max="8203" width="8.90625" style="374" customWidth="1"/>
    <col min="8204" max="8204" width="11.08984375" style="374" bestFit="1" customWidth="1"/>
    <col min="8205" max="8205" width="8.90625" style="374" bestFit="1" customWidth="1"/>
    <col min="8206" max="8207" width="10.08984375" style="374" customWidth="1"/>
    <col min="8208" max="8451" width="8.6328125" style="374"/>
    <col min="8452" max="8452" width="16.453125" style="374" bestFit="1" customWidth="1"/>
    <col min="8453" max="8453" width="6.6328125" style="374" bestFit="1" customWidth="1"/>
    <col min="8454" max="8454" width="13.453125" style="374" bestFit="1" customWidth="1"/>
    <col min="8455" max="8455" width="12.6328125" style="374" bestFit="1" customWidth="1"/>
    <col min="8456" max="8456" width="11.08984375" style="374" customWidth="1"/>
    <col min="8457" max="8457" width="9.90625" style="374" bestFit="1" customWidth="1"/>
    <col min="8458" max="8459" width="8.90625" style="374" customWidth="1"/>
    <col min="8460" max="8460" width="11.08984375" style="374" bestFit="1" customWidth="1"/>
    <col min="8461" max="8461" width="8.90625" style="374" bestFit="1" customWidth="1"/>
    <col min="8462" max="8463" width="10.08984375" style="374" customWidth="1"/>
    <col min="8464" max="8707" width="8.6328125" style="374"/>
    <col min="8708" max="8708" width="16.453125" style="374" bestFit="1" customWidth="1"/>
    <col min="8709" max="8709" width="6.6328125" style="374" bestFit="1" customWidth="1"/>
    <col min="8710" max="8710" width="13.453125" style="374" bestFit="1" customWidth="1"/>
    <col min="8711" max="8711" width="12.6328125" style="374" bestFit="1" customWidth="1"/>
    <col min="8712" max="8712" width="11.08984375" style="374" customWidth="1"/>
    <col min="8713" max="8713" width="9.90625" style="374" bestFit="1" customWidth="1"/>
    <col min="8714" max="8715" width="8.90625" style="374" customWidth="1"/>
    <col min="8716" max="8716" width="11.08984375" style="374" bestFit="1" customWidth="1"/>
    <col min="8717" max="8717" width="8.90625" style="374" bestFit="1" customWidth="1"/>
    <col min="8718" max="8719" width="10.08984375" style="374" customWidth="1"/>
    <col min="8720" max="8963" width="8.6328125" style="374"/>
    <col min="8964" max="8964" width="16.453125" style="374" bestFit="1" customWidth="1"/>
    <col min="8965" max="8965" width="6.6328125" style="374" bestFit="1" customWidth="1"/>
    <col min="8966" max="8966" width="13.453125" style="374" bestFit="1" customWidth="1"/>
    <col min="8967" max="8967" width="12.6328125" style="374" bestFit="1" customWidth="1"/>
    <col min="8968" max="8968" width="11.08984375" style="374" customWidth="1"/>
    <col min="8969" max="8969" width="9.90625" style="374" bestFit="1" customWidth="1"/>
    <col min="8970" max="8971" width="8.90625" style="374" customWidth="1"/>
    <col min="8972" max="8972" width="11.08984375" style="374" bestFit="1" customWidth="1"/>
    <col min="8973" max="8973" width="8.90625" style="374" bestFit="1" customWidth="1"/>
    <col min="8974" max="8975" width="10.08984375" style="374" customWidth="1"/>
    <col min="8976" max="9219" width="8.6328125" style="374"/>
    <col min="9220" max="9220" width="16.453125" style="374" bestFit="1" customWidth="1"/>
    <col min="9221" max="9221" width="6.6328125" style="374" bestFit="1" customWidth="1"/>
    <col min="9222" max="9222" width="13.453125" style="374" bestFit="1" customWidth="1"/>
    <col min="9223" max="9223" width="12.6328125" style="374" bestFit="1" customWidth="1"/>
    <col min="9224" max="9224" width="11.08984375" style="374" customWidth="1"/>
    <col min="9225" max="9225" width="9.90625" style="374" bestFit="1" customWidth="1"/>
    <col min="9226" max="9227" width="8.90625" style="374" customWidth="1"/>
    <col min="9228" max="9228" width="11.08984375" style="374" bestFit="1" customWidth="1"/>
    <col min="9229" max="9229" width="8.90625" style="374" bestFit="1" customWidth="1"/>
    <col min="9230" max="9231" width="10.08984375" style="374" customWidth="1"/>
    <col min="9232" max="9475" width="8.6328125" style="374"/>
    <col min="9476" max="9476" width="16.453125" style="374" bestFit="1" customWidth="1"/>
    <col min="9477" max="9477" width="6.6328125" style="374" bestFit="1" customWidth="1"/>
    <col min="9478" max="9478" width="13.453125" style="374" bestFit="1" customWidth="1"/>
    <col min="9479" max="9479" width="12.6328125" style="374" bestFit="1" customWidth="1"/>
    <col min="9480" max="9480" width="11.08984375" style="374" customWidth="1"/>
    <col min="9481" max="9481" width="9.90625" style="374" bestFit="1" customWidth="1"/>
    <col min="9482" max="9483" width="8.90625" style="374" customWidth="1"/>
    <col min="9484" max="9484" width="11.08984375" style="374" bestFit="1" customWidth="1"/>
    <col min="9485" max="9485" width="8.90625" style="374" bestFit="1" customWidth="1"/>
    <col min="9486" max="9487" width="10.08984375" style="374" customWidth="1"/>
    <col min="9488" max="9731" width="8.6328125" style="374"/>
    <col min="9732" max="9732" width="16.453125" style="374" bestFit="1" customWidth="1"/>
    <col min="9733" max="9733" width="6.6328125" style="374" bestFit="1" customWidth="1"/>
    <col min="9734" max="9734" width="13.453125" style="374" bestFit="1" customWidth="1"/>
    <col min="9735" max="9735" width="12.6328125" style="374" bestFit="1" customWidth="1"/>
    <col min="9736" max="9736" width="11.08984375" style="374" customWidth="1"/>
    <col min="9737" max="9737" width="9.90625" style="374" bestFit="1" customWidth="1"/>
    <col min="9738" max="9739" width="8.90625" style="374" customWidth="1"/>
    <col min="9740" max="9740" width="11.08984375" style="374" bestFit="1" customWidth="1"/>
    <col min="9741" max="9741" width="8.90625" style="374" bestFit="1" customWidth="1"/>
    <col min="9742" max="9743" width="10.08984375" style="374" customWidth="1"/>
    <col min="9744" max="9987" width="8.6328125" style="374"/>
    <col min="9988" max="9988" width="16.453125" style="374" bestFit="1" customWidth="1"/>
    <col min="9989" max="9989" width="6.6328125" style="374" bestFit="1" customWidth="1"/>
    <col min="9990" max="9990" width="13.453125" style="374" bestFit="1" customWidth="1"/>
    <col min="9991" max="9991" width="12.6328125" style="374" bestFit="1" customWidth="1"/>
    <col min="9992" max="9992" width="11.08984375" style="374" customWidth="1"/>
    <col min="9993" max="9993" width="9.90625" style="374" bestFit="1" customWidth="1"/>
    <col min="9994" max="9995" width="8.90625" style="374" customWidth="1"/>
    <col min="9996" max="9996" width="11.08984375" style="374" bestFit="1" customWidth="1"/>
    <col min="9997" max="9997" width="8.90625" style="374" bestFit="1" customWidth="1"/>
    <col min="9998" max="9999" width="10.08984375" style="374" customWidth="1"/>
    <col min="10000" max="10243" width="8.6328125" style="374"/>
    <col min="10244" max="10244" width="16.453125" style="374" bestFit="1" customWidth="1"/>
    <col min="10245" max="10245" width="6.6328125" style="374" bestFit="1" customWidth="1"/>
    <col min="10246" max="10246" width="13.453125" style="374" bestFit="1" customWidth="1"/>
    <col min="10247" max="10247" width="12.6328125" style="374" bestFit="1" customWidth="1"/>
    <col min="10248" max="10248" width="11.08984375" style="374" customWidth="1"/>
    <col min="10249" max="10249" width="9.90625" style="374" bestFit="1" customWidth="1"/>
    <col min="10250" max="10251" width="8.90625" style="374" customWidth="1"/>
    <col min="10252" max="10252" width="11.08984375" style="374" bestFit="1" customWidth="1"/>
    <col min="10253" max="10253" width="8.90625" style="374" bestFit="1" customWidth="1"/>
    <col min="10254" max="10255" width="10.08984375" style="374" customWidth="1"/>
    <col min="10256" max="10499" width="8.6328125" style="374"/>
    <col min="10500" max="10500" width="16.453125" style="374" bestFit="1" customWidth="1"/>
    <col min="10501" max="10501" width="6.6328125" style="374" bestFit="1" customWidth="1"/>
    <col min="10502" max="10502" width="13.453125" style="374" bestFit="1" customWidth="1"/>
    <col min="10503" max="10503" width="12.6328125" style="374" bestFit="1" customWidth="1"/>
    <col min="10504" max="10504" width="11.08984375" style="374" customWidth="1"/>
    <col min="10505" max="10505" width="9.90625" style="374" bestFit="1" customWidth="1"/>
    <col min="10506" max="10507" width="8.90625" style="374" customWidth="1"/>
    <col min="10508" max="10508" width="11.08984375" style="374" bestFit="1" customWidth="1"/>
    <col min="10509" max="10509" width="8.90625" style="374" bestFit="1" customWidth="1"/>
    <col min="10510" max="10511" width="10.08984375" style="374" customWidth="1"/>
    <col min="10512" max="10755" width="8.6328125" style="374"/>
    <col min="10756" max="10756" width="16.453125" style="374" bestFit="1" customWidth="1"/>
    <col min="10757" max="10757" width="6.6328125" style="374" bestFit="1" customWidth="1"/>
    <col min="10758" max="10758" width="13.453125" style="374" bestFit="1" customWidth="1"/>
    <col min="10759" max="10759" width="12.6328125" style="374" bestFit="1" customWidth="1"/>
    <col min="10760" max="10760" width="11.08984375" style="374" customWidth="1"/>
    <col min="10761" max="10761" width="9.90625" style="374" bestFit="1" customWidth="1"/>
    <col min="10762" max="10763" width="8.90625" style="374" customWidth="1"/>
    <col min="10764" max="10764" width="11.08984375" style="374" bestFit="1" customWidth="1"/>
    <col min="10765" max="10765" width="8.90625" style="374" bestFit="1" customWidth="1"/>
    <col min="10766" max="10767" width="10.08984375" style="374" customWidth="1"/>
    <col min="10768" max="11011" width="8.6328125" style="374"/>
    <col min="11012" max="11012" width="16.453125" style="374" bestFit="1" customWidth="1"/>
    <col min="11013" max="11013" width="6.6328125" style="374" bestFit="1" customWidth="1"/>
    <col min="11014" max="11014" width="13.453125" style="374" bestFit="1" customWidth="1"/>
    <col min="11015" max="11015" width="12.6328125" style="374" bestFit="1" customWidth="1"/>
    <col min="11016" max="11016" width="11.08984375" style="374" customWidth="1"/>
    <col min="11017" max="11017" width="9.90625" style="374" bestFit="1" customWidth="1"/>
    <col min="11018" max="11019" width="8.90625" style="374" customWidth="1"/>
    <col min="11020" max="11020" width="11.08984375" style="374" bestFit="1" customWidth="1"/>
    <col min="11021" max="11021" width="8.90625" style="374" bestFit="1" customWidth="1"/>
    <col min="11022" max="11023" width="10.08984375" style="374" customWidth="1"/>
    <col min="11024" max="11267" width="8.6328125" style="374"/>
    <col min="11268" max="11268" width="16.453125" style="374" bestFit="1" customWidth="1"/>
    <col min="11269" max="11269" width="6.6328125" style="374" bestFit="1" customWidth="1"/>
    <col min="11270" max="11270" width="13.453125" style="374" bestFit="1" customWidth="1"/>
    <col min="11271" max="11271" width="12.6328125" style="374" bestFit="1" customWidth="1"/>
    <col min="11272" max="11272" width="11.08984375" style="374" customWidth="1"/>
    <col min="11273" max="11273" width="9.90625" style="374" bestFit="1" customWidth="1"/>
    <col min="11274" max="11275" width="8.90625" style="374" customWidth="1"/>
    <col min="11276" max="11276" width="11.08984375" style="374" bestFit="1" customWidth="1"/>
    <col min="11277" max="11277" width="8.90625" style="374" bestFit="1" customWidth="1"/>
    <col min="11278" max="11279" width="10.08984375" style="374" customWidth="1"/>
    <col min="11280" max="11523" width="8.6328125" style="374"/>
    <col min="11524" max="11524" width="16.453125" style="374" bestFit="1" customWidth="1"/>
    <col min="11525" max="11525" width="6.6328125" style="374" bestFit="1" customWidth="1"/>
    <col min="11526" max="11526" width="13.453125" style="374" bestFit="1" customWidth="1"/>
    <col min="11527" max="11527" width="12.6328125" style="374" bestFit="1" customWidth="1"/>
    <col min="11528" max="11528" width="11.08984375" style="374" customWidth="1"/>
    <col min="11529" max="11529" width="9.90625" style="374" bestFit="1" customWidth="1"/>
    <col min="11530" max="11531" width="8.90625" style="374" customWidth="1"/>
    <col min="11532" max="11532" width="11.08984375" style="374" bestFit="1" customWidth="1"/>
    <col min="11533" max="11533" width="8.90625" style="374" bestFit="1" customWidth="1"/>
    <col min="11534" max="11535" width="10.08984375" style="374" customWidth="1"/>
    <col min="11536" max="11779" width="8.6328125" style="374"/>
    <col min="11780" max="11780" width="16.453125" style="374" bestFit="1" customWidth="1"/>
    <col min="11781" max="11781" width="6.6328125" style="374" bestFit="1" customWidth="1"/>
    <col min="11782" max="11782" width="13.453125" style="374" bestFit="1" customWidth="1"/>
    <col min="11783" max="11783" width="12.6328125" style="374" bestFit="1" customWidth="1"/>
    <col min="11784" max="11784" width="11.08984375" style="374" customWidth="1"/>
    <col min="11785" max="11785" width="9.90625" style="374" bestFit="1" customWidth="1"/>
    <col min="11786" max="11787" width="8.90625" style="374" customWidth="1"/>
    <col min="11788" max="11788" width="11.08984375" style="374" bestFit="1" customWidth="1"/>
    <col min="11789" max="11789" width="8.90625" style="374" bestFit="1" customWidth="1"/>
    <col min="11790" max="11791" width="10.08984375" style="374" customWidth="1"/>
    <col min="11792" max="12035" width="8.6328125" style="374"/>
    <col min="12036" max="12036" width="16.453125" style="374" bestFit="1" customWidth="1"/>
    <col min="12037" max="12037" width="6.6328125" style="374" bestFit="1" customWidth="1"/>
    <col min="12038" max="12038" width="13.453125" style="374" bestFit="1" customWidth="1"/>
    <col min="12039" max="12039" width="12.6328125" style="374" bestFit="1" customWidth="1"/>
    <col min="12040" max="12040" width="11.08984375" style="374" customWidth="1"/>
    <col min="12041" max="12041" width="9.90625" style="374" bestFit="1" customWidth="1"/>
    <col min="12042" max="12043" width="8.90625" style="374" customWidth="1"/>
    <col min="12044" max="12044" width="11.08984375" style="374" bestFit="1" customWidth="1"/>
    <col min="12045" max="12045" width="8.90625" style="374" bestFit="1" customWidth="1"/>
    <col min="12046" max="12047" width="10.08984375" style="374" customWidth="1"/>
    <col min="12048" max="12291" width="8.6328125" style="374"/>
    <col min="12292" max="12292" width="16.453125" style="374" bestFit="1" customWidth="1"/>
    <col min="12293" max="12293" width="6.6328125" style="374" bestFit="1" customWidth="1"/>
    <col min="12294" max="12294" width="13.453125" style="374" bestFit="1" customWidth="1"/>
    <col min="12295" max="12295" width="12.6328125" style="374" bestFit="1" customWidth="1"/>
    <col min="12296" max="12296" width="11.08984375" style="374" customWidth="1"/>
    <col min="12297" max="12297" width="9.90625" style="374" bestFit="1" customWidth="1"/>
    <col min="12298" max="12299" width="8.90625" style="374" customWidth="1"/>
    <col min="12300" max="12300" width="11.08984375" style="374" bestFit="1" customWidth="1"/>
    <col min="12301" max="12301" width="8.90625" style="374" bestFit="1" customWidth="1"/>
    <col min="12302" max="12303" width="10.08984375" style="374" customWidth="1"/>
    <col min="12304" max="12547" width="8.6328125" style="374"/>
    <col min="12548" max="12548" width="16.453125" style="374" bestFit="1" customWidth="1"/>
    <col min="12549" max="12549" width="6.6328125" style="374" bestFit="1" customWidth="1"/>
    <col min="12550" max="12550" width="13.453125" style="374" bestFit="1" customWidth="1"/>
    <col min="12551" max="12551" width="12.6328125" style="374" bestFit="1" customWidth="1"/>
    <col min="12552" max="12552" width="11.08984375" style="374" customWidth="1"/>
    <col min="12553" max="12553" width="9.90625" style="374" bestFit="1" customWidth="1"/>
    <col min="12554" max="12555" width="8.90625" style="374" customWidth="1"/>
    <col min="12556" max="12556" width="11.08984375" style="374" bestFit="1" customWidth="1"/>
    <col min="12557" max="12557" width="8.90625" style="374" bestFit="1" customWidth="1"/>
    <col min="12558" max="12559" width="10.08984375" style="374" customWidth="1"/>
    <col min="12560" max="12803" width="8.6328125" style="374"/>
    <col min="12804" max="12804" width="16.453125" style="374" bestFit="1" customWidth="1"/>
    <col min="12805" max="12805" width="6.6328125" style="374" bestFit="1" customWidth="1"/>
    <col min="12806" max="12806" width="13.453125" style="374" bestFit="1" customWidth="1"/>
    <col min="12807" max="12807" width="12.6328125" style="374" bestFit="1" customWidth="1"/>
    <col min="12808" max="12808" width="11.08984375" style="374" customWidth="1"/>
    <col min="12809" max="12809" width="9.90625" style="374" bestFit="1" customWidth="1"/>
    <col min="12810" max="12811" width="8.90625" style="374" customWidth="1"/>
    <col min="12812" max="12812" width="11.08984375" style="374" bestFit="1" customWidth="1"/>
    <col min="12813" max="12813" width="8.90625" style="374" bestFit="1" customWidth="1"/>
    <col min="12814" max="12815" width="10.08984375" style="374" customWidth="1"/>
    <col min="12816" max="13059" width="8.6328125" style="374"/>
    <col min="13060" max="13060" width="16.453125" style="374" bestFit="1" customWidth="1"/>
    <col min="13061" max="13061" width="6.6328125" style="374" bestFit="1" customWidth="1"/>
    <col min="13062" max="13062" width="13.453125" style="374" bestFit="1" customWidth="1"/>
    <col min="13063" max="13063" width="12.6328125" style="374" bestFit="1" customWidth="1"/>
    <col min="13064" max="13064" width="11.08984375" style="374" customWidth="1"/>
    <col min="13065" max="13065" width="9.90625" style="374" bestFit="1" customWidth="1"/>
    <col min="13066" max="13067" width="8.90625" style="374" customWidth="1"/>
    <col min="13068" max="13068" width="11.08984375" style="374" bestFit="1" customWidth="1"/>
    <col min="13069" max="13069" width="8.90625" style="374" bestFit="1" customWidth="1"/>
    <col min="13070" max="13071" width="10.08984375" style="374" customWidth="1"/>
    <col min="13072" max="13315" width="8.6328125" style="374"/>
    <col min="13316" max="13316" width="16.453125" style="374" bestFit="1" customWidth="1"/>
    <col min="13317" max="13317" width="6.6328125" style="374" bestFit="1" customWidth="1"/>
    <col min="13318" max="13318" width="13.453125" style="374" bestFit="1" customWidth="1"/>
    <col min="13319" max="13319" width="12.6328125" style="374" bestFit="1" customWidth="1"/>
    <col min="13320" max="13320" width="11.08984375" style="374" customWidth="1"/>
    <col min="13321" max="13321" width="9.90625" style="374" bestFit="1" customWidth="1"/>
    <col min="13322" max="13323" width="8.90625" style="374" customWidth="1"/>
    <col min="13324" max="13324" width="11.08984375" style="374" bestFit="1" customWidth="1"/>
    <col min="13325" max="13325" width="8.90625" style="374" bestFit="1" customWidth="1"/>
    <col min="13326" max="13327" width="10.08984375" style="374" customWidth="1"/>
    <col min="13328" max="13571" width="8.6328125" style="374"/>
    <col min="13572" max="13572" width="16.453125" style="374" bestFit="1" customWidth="1"/>
    <col min="13573" max="13573" width="6.6328125" style="374" bestFit="1" customWidth="1"/>
    <col min="13574" max="13574" width="13.453125" style="374" bestFit="1" customWidth="1"/>
    <col min="13575" max="13575" width="12.6328125" style="374" bestFit="1" customWidth="1"/>
    <col min="13576" max="13576" width="11.08984375" style="374" customWidth="1"/>
    <col min="13577" max="13577" width="9.90625" style="374" bestFit="1" customWidth="1"/>
    <col min="13578" max="13579" width="8.90625" style="374" customWidth="1"/>
    <col min="13580" max="13580" width="11.08984375" style="374" bestFit="1" customWidth="1"/>
    <col min="13581" max="13581" width="8.90625" style="374" bestFit="1" customWidth="1"/>
    <col min="13582" max="13583" width="10.08984375" style="374" customWidth="1"/>
    <col min="13584" max="13827" width="8.6328125" style="374"/>
    <col min="13828" max="13828" width="16.453125" style="374" bestFit="1" customWidth="1"/>
    <col min="13829" max="13829" width="6.6328125" style="374" bestFit="1" customWidth="1"/>
    <col min="13830" max="13830" width="13.453125" style="374" bestFit="1" customWidth="1"/>
    <col min="13831" max="13831" width="12.6328125" style="374" bestFit="1" customWidth="1"/>
    <col min="13832" max="13832" width="11.08984375" style="374" customWidth="1"/>
    <col min="13833" max="13833" width="9.90625" style="374" bestFit="1" customWidth="1"/>
    <col min="13834" max="13835" width="8.90625" style="374" customWidth="1"/>
    <col min="13836" max="13836" width="11.08984375" style="374" bestFit="1" customWidth="1"/>
    <col min="13837" max="13837" width="8.90625" style="374" bestFit="1" customWidth="1"/>
    <col min="13838" max="13839" width="10.08984375" style="374" customWidth="1"/>
    <col min="13840" max="14083" width="8.6328125" style="374"/>
    <col min="14084" max="14084" width="16.453125" style="374" bestFit="1" customWidth="1"/>
    <col min="14085" max="14085" width="6.6328125" style="374" bestFit="1" customWidth="1"/>
    <col min="14086" max="14086" width="13.453125" style="374" bestFit="1" customWidth="1"/>
    <col min="14087" max="14087" width="12.6328125" style="374" bestFit="1" customWidth="1"/>
    <col min="14088" max="14088" width="11.08984375" style="374" customWidth="1"/>
    <col min="14089" max="14089" width="9.90625" style="374" bestFit="1" customWidth="1"/>
    <col min="14090" max="14091" width="8.90625" style="374" customWidth="1"/>
    <col min="14092" max="14092" width="11.08984375" style="374" bestFit="1" customWidth="1"/>
    <col min="14093" max="14093" width="8.90625" style="374" bestFit="1" customWidth="1"/>
    <col min="14094" max="14095" width="10.08984375" style="374" customWidth="1"/>
    <col min="14096" max="14339" width="8.6328125" style="374"/>
    <col min="14340" max="14340" width="16.453125" style="374" bestFit="1" customWidth="1"/>
    <col min="14341" max="14341" width="6.6328125" style="374" bestFit="1" customWidth="1"/>
    <col min="14342" max="14342" width="13.453125" style="374" bestFit="1" customWidth="1"/>
    <col min="14343" max="14343" width="12.6328125" style="374" bestFit="1" customWidth="1"/>
    <col min="14344" max="14344" width="11.08984375" style="374" customWidth="1"/>
    <col min="14345" max="14345" width="9.90625" style="374" bestFit="1" customWidth="1"/>
    <col min="14346" max="14347" width="8.90625" style="374" customWidth="1"/>
    <col min="14348" max="14348" width="11.08984375" style="374" bestFit="1" customWidth="1"/>
    <col min="14349" max="14349" width="8.90625" style="374" bestFit="1" customWidth="1"/>
    <col min="14350" max="14351" width="10.08984375" style="374" customWidth="1"/>
    <col min="14352" max="14595" width="8.6328125" style="374"/>
    <col min="14596" max="14596" width="16.453125" style="374" bestFit="1" customWidth="1"/>
    <col min="14597" max="14597" width="6.6328125" style="374" bestFit="1" customWidth="1"/>
    <col min="14598" max="14598" width="13.453125" style="374" bestFit="1" customWidth="1"/>
    <col min="14599" max="14599" width="12.6328125" style="374" bestFit="1" customWidth="1"/>
    <col min="14600" max="14600" width="11.08984375" style="374" customWidth="1"/>
    <col min="14601" max="14601" width="9.90625" style="374" bestFit="1" customWidth="1"/>
    <col min="14602" max="14603" width="8.90625" style="374" customWidth="1"/>
    <col min="14604" max="14604" width="11.08984375" style="374" bestFit="1" customWidth="1"/>
    <col min="14605" max="14605" width="8.90625" style="374" bestFit="1" customWidth="1"/>
    <col min="14606" max="14607" width="10.08984375" style="374" customWidth="1"/>
    <col min="14608" max="14851" width="8.6328125" style="374"/>
    <col min="14852" max="14852" width="16.453125" style="374" bestFit="1" customWidth="1"/>
    <col min="14853" max="14853" width="6.6328125" style="374" bestFit="1" customWidth="1"/>
    <col min="14854" max="14854" width="13.453125" style="374" bestFit="1" customWidth="1"/>
    <col min="14855" max="14855" width="12.6328125" style="374" bestFit="1" customWidth="1"/>
    <col min="14856" max="14856" width="11.08984375" style="374" customWidth="1"/>
    <col min="14857" max="14857" width="9.90625" style="374" bestFit="1" customWidth="1"/>
    <col min="14858" max="14859" width="8.90625" style="374" customWidth="1"/>
    <col min="14860" max="14860" width="11.08984375" style="374" bestFit="1" customWidth="1"/>
    <col min="14861" max="14861" width="8.90625" style="374" bestFit="1" customWidth="1"/>
    <col min="14862" max="14863" width="10.08984375" style="374" customWidth="1"/>
    <col min="14864" max="15107" width="8.6328125" style="374"/>
    <col min="15108" max="15108" width="16.453125" style="374" bestFit="1" customWidth="1"/>
    <col min="15109" max="15109" width="6.6328125" style="374" bestFit="1" customWidth="1"/>
    <col min="15110" max="15110" width="13.453125" style="374" bestFit="1" customWidth="1"/>
    <col min="15111" max="15111" width="12.6328125" style="374" bestFit="1" customWidth="1"/>
    <col min="15112" max="15112" width="11.08984375" style="374" customWidth="1"/>
    <col min="15113" max="15113" width="9.90625" style="374" bestFit="1" customWidth="1"/>
    <col min="15114" max="15115" width="8.90625" style="374" customWidth="1"/>
    <col min="15116" max="15116" width="11.08984375" style="374" bestFit="1" customWidth="1"/>
    <col min="15117" max="15117" width="8.90625" style="374" bestFit="1" customWidth="1"/>
    <col min="15118" max="15119" width="10.08984375" style="374" customWidth="1"/>
    <col min="15120" max="15363" width="8.6328125" style="374"/>
    <col min="15364" max="15364" width="16.453125" style="374" bestFit="1" customWidth="1"/>
    <col min="15365" max="15365" width="6.6328125" style="374" bestFit="1" customWidth="1"/>
    <col min="15366" max="15366" width="13.453125" style="374" bestFit="1" customWidth="1"/>
    <col min="15367" max="15367" width="12.6328125" style="374" bestFit="1" customWidth="1"/>
    <col min="15368" max="15368" width="11.08984375" style="374" customWidth="1"/>
    <col min="15369" max="15369" width="9.90625" style="374" bestFit="1" customWidth="1"/>
    <col min="15370" max="15371" width="8.90625" style="374" customWidth="1"/>
    <col min="15372" max="15372" width="11.08984375" style="374" bestFit="1" customWidth="1"/>
    <col min="15373" max="15373" width="8.90625" style="374" bestFit="1" customWidth="1"/>
    <col min="15374" max="15375" width="10.08984375" style="374" customWidth="1"/>
    <col min="15376" max="15619" width="8.6328125" style="374"/>
    <col min="15620" max="15620" width="16.453125" style="374" bestFit="1" customWidth="1"/>
    <col min="15621" max="15621" width="6.6328125" style="374" bestFit="1" customWidth="1"/>
    <col min="15622" max="15622" width="13.453125" style="374" bestFit="1" customWidth="1"/>
    <col min="15623" max="15623" width="12.6328125" style="374" bestFit="1" customWidth="1"/>
    <col min="15624" max="15624" width="11.08984375" style="374" customWidth="1"/>
    <col min="15625" max="15625" width="9.90625" style="374" bestFit="1" customWidth="1"/>
    <col min="15626" max="15627" width="8.90625" style="374" customWidth="1"/>
    <col min="15628" max="15628" width="11.08984375" style="374" bestFit="1" customWidth="1"/>
    <col min="15629" max="15629" width="8.90625" style="374" bestFit="1" customWidth="1"/>
    <col min="15630" max="15631" width="10.08984375" style="374" customWidth="1"/>
    <col min="15632" max="15875" width="8.6328125" style="374"/>
    <col min="15876" max="15876" width="16.453125" style="374" bestFit="1" customWidth="1"/>
    <col min="15877" max="15877" width="6.6328125" style="374" bestFit="1" customWidth="1"/>
    <col min="15878" max="15878" width="13.453125" style="374" bestFit="1" customWidth="1"/>
    <col min="15879" max="15879" width="12.6328125" style="374" bestFit="1" customWidth="1"/>
    <col min="15880" max="15880" width="11.08984375" style="374" customWidth="1"/>
    <col min="15881" max="15881" width="9.90625" style="374" bestFit="1" customWidth="1"/>
    <col min="15882" max="15883" width="8.90625" style="374" customWidth="1"/>
    <col min="15884" max="15884" width="11.08984375" style="374" bestFit="1" customWidth="1"/>
    <col min="15885" max="15885" width="8.90625" style="374" bestFit="1" customWidth="1"/>
    <col min="15886" max="15887" width="10.08984375" style="374" customWidth="1"/>
    <col min="15888" max="16131" width="8.6328125" style="374"/>
    <col min="16132" max="16132" width="16.453125" style="374" bestFit="1" customWidth="1"/>
    <col min="16133" max="16133" width="6.6328125" style="374" bestFit="1" customWidth="1"/>
    <col min="16134" max="16134" width="13.453125" style="374" bestFit="1" customWidth="1"/>
    <col min="16135" max="16135" width="12.6328125" style="374" bestFit="1" customWidth="1"/>
    <col min="16136" max="16136" width="11.08984375" style="374" customWidth="1"/>
    <col min="16137" max="16137" width="9.90625" style="374" bestFit="1" customWidth="1"/>
    <col min="16138" max="16139" width="8.90625" style="374" customWidth="1"/>
    <col min="16140" max="16140" width="11.08984375" style="374" bestFit="1" customWidth="1"/>
    <col min="16141" max="16141" width="8.90625" style="374" bestFit="1" customWidth="1"/>
    <col min="16142" max="16143" width="10.08984375" style="374" customWidth="1"/>
    <col min="16144" max="16384" width="8.6328125" style="374"/>
  </cols>
  <sheetData>
    <row r="2" spans="2:9" ht="18.649999999999999" customHeight="1" x14ac:dyDescent="0.4">
      <c r="B2" s="100" t="s">
        <v>73</v>
      </c>
      <c r="C2" s="100" t="s">
        <v>74</v>
      </c>
      <c r="D2" s="101" t="s">
        <v>78</v>
      </c>
      <c r="E2" s="373" t="s">
        <v>80</v>
      </c>
      <c r="F2" s="100" t="s">
        <v>75</v>
      </c>
      <c r="G2" s="100" t="s">
        <v>76</v>
      </c>
      <c r="H2" s="339" t="s">
        <v>4</v>
      </c>
      <c r="I2" s="339" t="s">
        <v>92</v>
      </c>
    </row>
    <row r="3" spans="2:9" ht="18.649999999999999" customHeight="1" x14ac:dyDescent="0.4">
      <c r="B3" s="34" t="s">
        <v>1373</v>
      </c>
      <c r="C3" s="34" t="s">
        <v>1374</v>
      </c>
      <c r="D3" s="34"/>
      <c r="E3" s="339" t="s">
        <v>1375</v>
      </c>
      <c r="F3" s="34" t="s">
        <v>1376</v>
      </c>
      <c r="G3" s="339"/>
      <c r="H3" s="35"/>
      <c r="I3" s="37">
        <v>37347</v>
      </c>
    </row>
    <row r="4" spans="2:9" ht="18.649999999999999" customHeight="1" x14ac:dyDescent="0.4">
      <c r="B4" s="34" t="s">
        <v>1329</v>
      </c>
      <c r="C4" s="34" t="s">
        <v>1330</v>
      </c>
      <c r="D4" s="225"/>
      <c r="E4" s="339" t="s">
        <v>1375</v>
      </c>
      <c r="F4" s="34" t="s">
        <v>1376</v>
      </c>
      <c r="G4" s="347"/>
      <c r="H4" s="701"/>
      <c r="I4" s="37">
        <v>38237</v>
      </c>
    </row>
    <row r="5" spans="2:9" ht="18.649999999999999" customHeight="1" x14ac:dyDescent="0.4">
      <c r="B5" s="34" t="s">
        <v>1331</v>
      </c>
      <c r="C5" s="34" t="s">
        <v>1332</v>
      </c>
      <c r="D5" s="34"/>
      <c r="E5" s="339" t="s">
        <v>1375</v>
      </c>
      <c r="F5" s="34" t="s">
        <v>1376</v>
      </c>
      <c r="G5" s="339"/>
      <c r="H5" s="35"/>
      <c r="I5" s="37">
        <v>39310</v>
      </c>
    </row>
    <row r="6" spans="2:9" ht="18.649999999999999" customHeight="1" x14ac:dyDescent="0.4">
      <c r="B6" s="34" t="s">
        <v>1333</v>
      </c>
      <c r="C6" s="34" t="s">
        <v>1334</v>
      </c>
      <c r="D6" s="225"/>
      <c r="E6" s="339" t="s">
        <v>1375</v>
      </c>
      <c r="F6" s="34" t="s">
        <v>1376</v>
      </c>
      <c r="G6" s="347"/>
      <c r="H6" s="701"/>
      <c r="I6" s="37">
        <v>41456</v>
      </c>
    </row>
    <row r="7" spans="2:9" ht="18.649999999999999" customHeight="1" x14ac:dyDescent="0.4">
      <c r="B7" s="34" t="s">
        <v>1335</v>
      </c>
      <c r="C7" s="34" t="s">
        <v>1336</v>
      </c>
      <c r="D7" s="34"/>
      <c r="E7" s="339" t="s">
        <v>1375</v>
      </c>
      <c r="F7" s="34" t="s">
        <v>1376</v>
      </c>
      <c r="G7" s="339"/>
      <c r="H7" s="35"/>
      <c r="I7" s="37">
        <v>43206</v>
      </c>
    </row>
    <row r="8" spans="2:9" ht="18.649999999999999" customHeight="1" x14ac:dyDescent="0.4">
      <c r="B8" s="34" t="s">
        <v>1337</v>
      </c>
      <c r="C8" s="34" t="s">
        <v>1338</v>
      </c>
      <c r="D8" s="225"/>
      <c r="E8" s="339" t="s">
        <v>1375</v>
      </c>
      <c r="F8" s="34" t="s">
        <v>1376</v>
      </c>
      <c r="G8" s="347"/>
      <c r="H8" s="701"/>
      <c r="I8" s="37">
        <v>43724</v>
      </c>
    </row>
    <row r="9" spans="2:9" ht="18.649999999999999" customHeight="1" x14ac:dyDescent="0.4">
      <c r="B9" s="34" t="s">
        <v>1339</v>
      </c>
      <c r="C9" s="34" t="s">
        <v>1340</v>
      </c>
      <c r="D9" s="34"/>
      <c r="E9" s="339" t="s">
        <v>1375</v>
      </c>
      <c r="F9" s="34" t="s">
        <v>1377</v>
      </c>
      <c r="G9" s="339"/>
      <c r="H9" s="35"/>
      <c r="I9" s="37">
        <v>37135</v>
      </c>
    </row>
    <row r="10" spans="2:9" ht="18.649999999999999" customHeight="1" x14ac:dyDescent="0.4">
      <c r="B10" s="34" t="s">
        <v>1342</v>
      </c>
      <c r="C10" s="34" t="s">
        <v>1343</v>
      </c>
      <c r="D10" s="225"/>
      <c r="E10" s="339" t="s">
        <v>1375</v>
      </c>
      <c r="F10" s="34" t="s">
        <v>1377</v>
      </c>
      <c r="G10" s="347"/>
      <c r="H10" s="701"/>
      <c r="I10" s="37">
        <v>37135</v>
      </c>
    </row>
    <row r="11" spans="2:9" ht="18.649999999999999" customHeight="1" x14ac:dyDescent="0.4">
      <c r="B11" s="34" t="s">
        <v>1344</v>
      </c>
      <c r="C11" s="34" t="s">
        <v>1345</v>
      </c>
      <c r="D11" s="34"/>
      <c r="E11" s="339" t="s">
        <v>1375</v>
      </c>
      <c r="F11" s="34" t="s">
        <v>1377</v>
      </c>
      <c r="G11" s="339"/>
      <c r="H11" s="35"/>
      <c r="I11" s="37">
        <v>42310</v>
      </c>
    </row>
    <row r="12" spans="2:9" ht="18.649999999999999" customHeight="1" x14ac:dyDescent="0.4">
      <c r="B12" s="34" t="s">
        <v>1346</v>
      </c>
      <c r="C12" s="34" t="s">
        <v>1347</v>
      </c>
      <c r="D12" s="225"/>
      <c r="E12" s="339" t="s">
        <v>1375</v>
      </c>
      <c r="F12" s="34" t="s">
        <v>1377</v>
      </c>
      <c r="G12" s="347"/>
      <c r="H12" s="701"/>
      <c r="I12" s="37">
        <v>42597</v>
      </c>
    </row>
    <row r="13" spans="2:9" ht="18.649999999999999" customHeight="1" x14ac:dyDescent="0.4">
      <c r="B13" s="34" t="s">
        <v>1348</v>
      </c>
      <c r="C13" s="34" t="s">
        <v>1349</v>
      </c>
      <c r="D13" s="34"/>
      <c r="E13" s="339" t="s">
        <v>1375</v>
      </c>
      <c r="F13" s="34" t="s">
        <v>1377</v>
      </c>
      <c r="G13" s="339"/>
      <c r="H13" s="35"/>
      <c r="I13" s="37">
        <v>43073</v>
      </c>
    </row>
    <row r="14" spans="2:9" ht="18.649999999999999" customHeight="1" x14ac:dyDescent="0.4">
      <c r="B14" s="34" t="s">
        <v>1350</v>
      </c>
      <c r="C14" s="34" t="s">
        <v>1351</v>
      </c>
      <c r="D14" s="225"/>
      <c r="E14" s="339" t="s">
        <v>1375</v>
      </c>
      <c r="F14" s="34" t="s">
        <v>1377</v>
      </c>
      <c r="G14" s="347"/>
      <c r="H14" s="701"/>
      <c r="I14" s="37">
        <v>38888</v>
      </c>
    </row>
    <row r="15" spans="2:9" ht="18.649999999999999" customHeight="1" x14ac:dyDescent="0.4">
      <c r="B15" s="34" t="s">
        <v>1352</v>
      </c>
      <c r="C15" s="34" t="s">
        <v>1353</v>
      </c>
      <c r="D15" s="34"/>
      <c r="E15" s="339" t="s">
        <v>1375</v>
      </c>
      <c r="F15" s="34" t="s">
        <v>1378</v>
      </c>
      <c r="G15" s="339"/>
      <c r="H15" s="35"/>
      <c r="I15" s="37">
        <v>40115</v>
      </c>
    </row>
    <row r="16" spans="2:9" ht="18.649999999999999" customHeight="1" x14ac:dyDescent="0.4">
      <c r="B16" s="34" t="s">
        <v>1355</v>
      </c>
      <c r="C16" s="34" t="s">
        <v>1356</v>
      </c>
      <c r="D16" s="225"/>
      <c r="E16" s="339" t="s">
        <v>1375</v>
      </c>
      <c r="F16" s="34" t="s">
        <v>1378</v>
      </c>
      <c r="G16" s="347"/>
      <c r="H16" s="701"/>
      <c r="I16" s="37">
        <v>43724</v>
      </c>
    </row>
    <row r="17" spans="2:9" ht="18.649999999999999" customHeight="1" x14ac:dyDescent="0.4">
      <c r="B17" s="34" t="s">
        <v>1357</v>
      </c>
      <c r="C17" s="34" t="s">
        <v>1358</v>
      </c>
      <c r="D17" s="34"/>
      <c r="E17" s="339" t="s">
        <v>1375</v>
      </c>
      <c r="F17" s="34" t="s">
        <v>1378</v>
      </c>
      <c r="G17" s="339"/>
      <c r="H17" s="35"/>
      <c r="I17" s="37">
        <v>43160</v>
      </c>
    </row>
    <row r="18" spans="2:9" ht="18.649999999999999" customHeight="1" x14ac:dyDescent="0.4">
      <c r="B18" s="34" t="s">
        <v>1359</v>
      </c>
      <c r="C18" s="34" t="s">
        <v>1360</v>
      </c>
      <c r="D18" s="225"/>
      <c r="E18" s="339" t="s">
        <v>1375</v>
      </c>
      <c r="F18" s="34" t="s">
        <v>1378</v>
      </c>
      <c r="G18" s="347"/>
      <c r="H18" s="701"/>
      <c r="I18" s="37">
        <v>43234</v>
      </c>
    </row>
    <row r="19" spans="2:9" ht="18.649999999999999" customHeight="1" x14ac:dyDescent="0.4">
      <c r="B19" s="34" t="s">
        <v>1361</v>
      </c>
      <c r="C19" s="34" t="s">
        <v>1362</v>
      </c>
      <c r="D19" s="34"/>
      <c r="E19" s="339" t="s">
        <v>1375</v>
      </c>
      <c r="F19" s="34" t="s">
        <v>1378</v>
      </c>
      <c r="G19" s="339"/>
      <c r="H19" s="35"/>
      <c r="I19" s="37">
        <v>43296</v>
      </c>
    </row>
    <row r="20" spans="2:9" ht="18.649999999999999" customHeight="1" x14ac:dyDescent="0.4">
      <c r="B20" s="34" t="s">
        <v>1363</v>
      </c>
      <c r="C20" s="34" t="s">
        <v>1364</v>
      </c>
      <c r="D20" s="225"/>
      <c r="E20" s="339" t="s">
        <v>1375</v>
      </c>
      <c r="F20" s="34" t="s">
        <v>1378</v>
      </c>
      <c r="G20" s="347"/>
      <c r="H20" s="701"/>
      <c r="I20" s="37">
        <v>43529</v>
      </c>
    </row>
    <row r="21" spans="2:9" ht="18.649999999999999" customHeight="1" x14ac:dyDescent="0.4">
      <c r="B21" s="34" t="s">
        <v>1365</v>
      </c>
      <c r="C21" s="34" t="s">
        <v>1366</v>
      </c>
      <c r="D21" s="34"/>
      <c r="E21" s="339" t="s">
        <v>1375</v>
      </c>
      <c r="F21" s="34" t="s">
        <v>1378</v>
      </c>
      <c r="G21" s="339"/>
      <c r="H21" s="35"/>
      <c r="I21" s="37">
        <v>43570</v>
      </c>
    </row>
    <row r="22" spans="2:9" ht="18.649999999999999" customHeight="1" x14ac:dyDescent="0.4">
      <c r="B22" s="34" t="s">
        <v>1367</v>
      </c>
      <c r="C22" s="34" t="s">
        <v>1368</v>
      </c>
      <c r="D22" s="225"/>
      <c r="E22" s="339" t="s">
        <v>1375</v>
      </c>
      <c r="F22" s="34" t="s">
        <v>1378</v>
      </c>
      <c r="G22" s="347"/>
      <c r="H22" s="701"/>
      <c r="I22" s="37">
        <v>43836</v>
      </c>
    </row>
    <row r="23" spans="2:9" ht="18.649999999999999" customHeight="1" x14ac:dyDescent="0.4">
      <c r="B23" s="34" t="s">
        <v>1369</v>
      </c>
      <c r="C23" s="34" t="s">
        <v>1370</v>
      </c>
      <c r="D23" s="225"/>
      <c r="E23" s="339" t="s">
        <v>1375</v>
      </c>
      <c r="F23" s="34" t="s">
        <v>1378</v>
      </c>
      <c r="G23" s="347"/>
      <c r="H23" s="701"/>
      <c r="I23" s="37">
        <v>43938</v>
      </c>
    </row>
    <row r="24" spans="2:9" ht="18.649999999999999" customHeight="1" x14ac:dyDescent="0.4">
      <c r="B24" s="34" t="s">
        <v>1371</v>
      </c>
      <c r="C24" s="34" t="s">
        <v>1372</v>
      </c>
      <c r="D24" s="225"/>
      <c r="E24" s="339" t="s">
        <v>1375</v>
      </c>
      <c r="F24" s="34" t="s">
        <v>1378</v>
      </c>
      <c r="G24" s="347"/>
      <c r="H24" s="701"/>
      <c r="I24" s="37">
        <v>44000</v>
      </c>
    </row>
    <row r="25" spans="2:9" ht="18.649999999999999" customHeight="1" x14ac:dyDescent="0.4">
      <c r="B25" s="21"/>
      <c r="C25" s="21"/>
      <c r="D25" s="21"/>
      <c r="E25" s="21"/>
      <c r="F25" s="21"/>
      <c r="G25" s="21"/>
      <c r="H25" s="21"/>
      <c r="I25" s="21"/>
    </row>
    <row r="26" spans="2:9" ht="18.649999999999999" customHeight="1" x14ac:dyDescent="0.4">
      <c r="B26" s="21"/>
      <c r="C26" s="21"/>
      <c r="D26" s="21"/>
      <c r="E26" s="21"/>
      <c r="F26" s="21"/>
      <c r="G26" s="21"/>
      <c r="H26" s="21"/>
      <c r="I26" s="21"/>
    </row>
    <row r="27" spans="2:9" ht="18.649999999999999" customHeight="1" x14ac:dyDescent="0.4">
      <c r="B27" s="21"/>
      <c r="C27" s="21"/>
      <c r="D27" s="21"/>
      <c r="E27" s="21"/>
      <c r="F27" s="21"/>
      <c r="G27" s="21"/>
      <c r="H27" s="21"/>
      <c r="I27" s="21"/>
    </row>
    <row r="28" spans="2:9" ht="18.649999999999999" customHeight="1" x14ac:dyDescent="0.4">
      <c r="B28" s="21"/>
      <c r="C28" s="21"/>
      <c r="D28" s="21"/>
      <c r="E28" s="21"/>
      <c r="F28" s="21"/>
      <c r="G28" s="21"/>
      <c r="H28" s="21"/>
      <c r="I28" s="21"/>
    </row>
    <row r="29" spans="2:9" ht="18.649999999999999" customHeight="1" x14ac:dyDescent="0.4">
      <c r="B29" s="21"/>
      <c r="C29" s="21"/>
      <c r="D29" s="21"/>
      <c r="E29" s="21"/>
      <c r="F29" s="21"/>
      <c r="G29" s="21"/>
      <c r="H29" s="21"/>
      <c r="I29" s="21"/>
    </row>
    <row r="30" spans="2:9" ht="18.649999999999999" customHeight="1" x14ac:dyDescent="0.4">
      <c r="B30" s="21"/>
      <c r="C30" s="21"/>
      <c r="D30" s="21"/>
      <c r="E30" s="21"/>
      <c r="F30" s="21"/>
      <c r="G30" s="21"/>
      <c r="H30" s="21"/>
      <c r="I30" s="21"/>
    </row>
    <row r="31" spans="2:9" ht="18.649999999999999" customHeight="1" x14ac:dyDescent="0.4">
      <c r="B31" s="21"/>
      <c r="C31" s="21"/>
      <c r="D31" s="21"/>
      <c r="E31" s="21"/>
      <c r="F31" s="21"/>
      <c r="G31" s="21"/>
      <c r="H31" s="21"/>
      <c r="I31" s="21"/>
    </row>
    <row r="32" spans="2:9" ht="18.649999999999999" customHeight="1" x14ac:dyDescent="0.4">
      <c r="B32" s="21"/>
      <c r="C32" s="21"/>
      <c r="D32" s="21"/>
      <c r="E32" s="21"/>
      <c r="F32" s="21"/>
      <c r="G32" s="21"/>
      <c r="H32" s="21"/>
      <c r="I32" s="21"/>
    </row>
    <row r="33" spans="2:9" ht="18.649999999999999" customHeight="1" x14ac:dyDescent="0.4">
      <c r="B33" s="21"/>
      <c r="C33" s="21"/>
      <c r="D33" s="21"/>
      <c r="E33" s="21"/>
      <c r="F33" s="21"/>
      <c r="G33" s="21"/>
      <c r="H33" s="21"/>
      <c r="I33" s="21"/>
    </row>
    <row r="34" spans="2:9" ht="18.649999999999999" customHeight="1" x14ac:dyDescent="0.4">
      <c r="B34" s="21"/>
      <c r="C34" s="21"/>
      <c r="D34" s="21"/>
      <c r="E34" s="21"/>
      <c r="F34" s="21"/>
      <c r="G34" s="21"/>
      <c r="H34" s="21"/>
      <c r="I34" s="21"/>
    </row>
    <row r="35" spans="2:9" ht="18.649999999999999" customHeight="1" x14ac:dyDescent="0.4">
      <c r="B35" s="21"/>
      <c r="C35" s="21"/>
      <c r="D35" s="21"/>
      <c r="E35" s="21"/>
      <c r="F35" s="21"/>
      <c r="G35" s="21"/>
      <c r="H35" s="21"/>
      <c r="I35" s="21"/>
    </row>
    <row r="36" spans="2:9" ht="18.649999999999999" customHeight="1" x14ac:dyDescent="0.4">
      <c r="B36" s="21"/>
      <c r="C36" s="21"/>
      <c r="D36" s="21"/>
      <c r="E36" s="21"/>
      <c r="F36" s="21"/>
      <c r="G36" s="21"/>
      <c r="H36" s="21"/>
      <c r="I36" s="21"/>
    </row>
    <row r="37" spans="2:9" ht="18.649999999999999" customHeight="1" x14ac:dyDescent="0.4">
      <c r="B37" s="21"/>
      <c r="C37" s="21"/>
      <c r="D37" s="21"/>
      <c r="E37" s="21"/>
      <c r="F37" s="21"/>
      <c r="G37" s="21"/>
      <c r="H37" s="21"/>
      <c r="I37" s="21"/>
    </row>
    <row r="38" spans="2:9" ht="18.649999999999999" customHeight="1" x14ac:dyDescent="0.4">
      <c r="B38" s="21"/>
      <c r="C38" s="21"/>
      <c r="D38" s="21"/>
      <c r="E38" s="21"/>
      <c r="F38" s="21"/>
      <c r="G38" s="21"/>
      <c r="H38" s="21"/>
      <c r="I38" s="21"/>
    </row>
    <row r="39" spans="2:9" ht="18.649999999999999" customHeight="1" x14ac:dyDescent="0.4">
      <c r="B39" s="21"/>
      <c r="C39" s="21"/>
      <c r="D39" s="21"/>
      <c r="E39" s="21"/>
      <c r="F39" s="21"/>
      <c r="G39" s="21"/>
      <c r="H39" s="21"/>
      <c r="I39" s="21"/>
    </row>
    <row r="40" spans="2:9" ht="18.649999999999999" customHeight="1" x14ac:dyDescent="0.4">
      <c r="B40" s="21"/>
      <c r="C40" s="21"/>
      <c r="D40" s="21"/>
      <c r="E40" s="21"/>
      <c r="F40" s="21"/>
      <c r="G40" s="21"/>
      <c r="H40" s="21"/>
      <c r="I40" s="21"/>
    </row>
    <row r="41" spans="2:9" ht="18.649999999999999" customHeight="1" x14ac:dyDescent="0.4">
      <c r="B41" s="21"/>
      <c r="C41" s="21"/>
      <c r="D41" s="21"/>
      <c r="E41" s="21"/>
      <c r="F41" s="21"/>
      <c r="G41" s="21"/>
      <c r="H41" s="21"/>
      <c r="I41" s="21"/>
    </row>
    <row r="42" spans="2:9" ht="18.649999999999999" customHeight="1" x14ac:dyDescent="0.4">
      <c r="B42" s="21"/>
      <c r="C42" s="21"/>
      <c r="D42" s="21"/>
      <c r="E42" s="21"/>
      <c r="F42" s="21"/>
      <c r="G42" s="21"/>
      <c r="H42" s="21"/>
      <c r="I42" s="21"/>
    </row>
    <row r="43" spans="2:9" ht="18.649999999999999" customHeight="1" x14ac:dyDescent="0.4">
      <c r="B43" s="21"/>
      <c r="C43" s="21"/>
      <c r="D43" s="21"/>
      <c r="E43" s="21"/>
      <c r="F43" s="21"/>
      <c r="G43" s="21"/>
      <c r="H43" s="21"/>
      <c r="I43" s="21"/>
    </row>
    <row r="44" spans="2:9" ht="18.649999999999999" customHeight="1" x14ac:dyDescent="0.4">
      <c r="B44" s="21"/>
      <c r="C44" s="21"/>
      <c r="D44" s="21"/>
      <c r="E44" s="21"/>
      <c r="F44" s="21"/>
      <c r="G44" s="21"/>
      <c r="H44" s="21"/>
      <c r="I44" s="21"/>
    </row>
    <row r="45" spans="2:9" ht="18.649999999999999" customHeight="1" x14ac:dyDescent="0.4">
      <c r="B45" s="21"/>
      <c r="C45" s="21"/>
      <c r="D45" s="21"/>
      <c r="E45" s="21"/>
      <c r="F45" s="21"/>
      <c r="G45" s="21"/>
      <c r="H45" s="21"/>
      <c r="I45" s="21"/>
    </row>
    <row r="46" spans="2:9" ht="18.649999999999999" customHeight="1" x14ac:dyDescent="0.4">
      <c r="B46" s="21"/>
      <c r="C46" s="21"/>
      <c r="D46" s="21"/>
      <c r="E46" s="21"/>
      <c r="F46" s="21"/>
      <c r="G46" s="21"/>
      <c r="H46" s="21"/>
      <c r="I46" s="21"/>
    </row>
    <row r="47" spans="2:9" ht="18.649999999999999" customHeight="1" x14ac:dyDescent="0.4">
      <c r="B47" s="21"/>
      <c r="C47" s="21"/>
      <c r="D47" s="21"/>
      <c r="E47" s="21"/>
      <c r="F47" s="21"/>
      <c r="G47" s="21"/>
      <c r="H47" s="21"/>
      <c r="I47" s="21"/>
    </row>
    <row r="48" spans="2:9" ht="18.649999999999999" customHeight="1" x14ac:dyDescent="0.4">
      <c r="B48" s="21"/>
      <c r="C48" s="21"/>
      <c r="D48" s="21"/>
      <c r="E48" s="21"/>
      <c r="F48" s="21"/>
      <c r="G48" s="21"/>
      <c r="H48" s="21"/>
      <c r="I48" s="21"/>
    </row>
    <row r="49" spans="2:9" ht="18.649999999999999" customHeight="1" x14ac:dyDescent="0.4">
      <c r="B49" s="21"/>
      <c r="C49" s="21"/>
      <c r="D49" s="21"/>
      <c r="E49" s="21"/>
      <c r="F49" s="21"/>
      <c r="G49" s="21"/>
      <c r="H49" s="21"/>
      <c r="I49" s="21"/>
    </row>
    <row r="50" spans="2:9" ht="18.649999999999999" customHeight="1" x14ac:dyDescent="0.4">
      <c r="B50" s="21"/>
      <c r="C50" s="21"/>
      <c r="D50" s="21"/>
      <c r="E50" s="21"/>
      <c r="F50" s="21"/>
      <c r="G50" s="21"/>
      <c r="H50" s="21"/>
      <c r="I50" s="21"/>
    </row>
    <row r="51" spans="2:9" ht="18.649999999999999" customHeight="1" x14ac:dyDescent="0.4">
      <c r="B51" s="21"/>
      <c r="C51" s="21"/>
      <c r="D51" s="21"/>
      <c r="E51" s="21"/>
      <c r="F51" s="21"/>
      <c r="G51" s="21"/>
      <c r="H51" s="21"/>
      <c r="I51" s="21"/>
    </row>
    <row r="52" spans="2:9" ht="18.649999999999999" customHeight="1" x14ac:dyDescent="0.4">
      <c r="B52" s="21"/>
      <c r="C52" s="21"/>
      <c r="D52" s="21"/>
      <c r="E52" s="21"/>
      <c r="F52" s="21"/>
      <c r="G52" s="21"/>
      <c r="H52" s="21"/>
      <c r="I52" s="21"/>
    </row>
    <row r="53" spans="2:9" ht="18.649999999999999" customHeight="1" x14ac:dyDescent="0.4">
      <c r="B53" s="21"/>
      <c r="C53" s="21"/>
      <c r="D53" s="21"/>
      <c r="E53" s="21"/>
      <c r="F53" s="21"/>
      <c r="G53" s="21"/>
      <c r="H53" s="21"/>
      <c r="I53" s="21"/>
    </row>
    <row r="54" spans="2:9" ht="18.649999999999999" customHeight="1" x14ac:dyDescent="0.4">
      <c r="B54" s="21"/>
      <c r="C54" s="21"/>
      <c r="D54" s="21"/>
      <c r="E54" s="21"/>
      <c r="F54" s="21"/>
      <c r="G54" s="21"/>
      <c r="H54" s="21"/>
      <c r="I54" s="21"/>
    </row>
    <row r="55" spans="2:9" ht="18.649999999999999" customHeight="1" x14ac:dyDescent="0.4">
      <c r="B55" s="21"/>
      <c r="C55" s="21"/>
      <c r="D55" s="21"/>
      <c r="E55" s="21"/>
      <c r="F55" s="21"/>
      <c r="G55" s="21"/>
      <c r="H55" s="21"/>
      <c r="I55" s="21"/>
    </row>
    <row r="56" spans="2:9" ht="18.649999999999999" customHeight="1" x14ac:dyDescent="0.4">
      <c r="B56" s="21"/>
      <c r="C56" s="21"/>
      <c r="D56" s="21"/>
      <c r="E56" s="21"/>
      <c r="F56" s="21"/>
      <c r="G56" s="21"/>
      <c r="H56" s="21"/>
      <c r="I56" s="21"/>
    </row>
    <row r="57" spans="2:9" ht="18.649999999999999" customHeight="1" x14ac:dyDescent="0.4">
      <c r="B57" s="21"/>
      <c r="C57" s="21"/>
      <c r="D57" s="21"/>
      <c r="E57" s="21"/>
      <c r="F57" s="21"/>
      <c r="G57" s="21"/>
      <c r="H57" s="21"/>
      <c r="I57" s="21"/>
    </row>
    <row r="58" spans="2:9" ht="18.649999999999999" customHeight="1" x14ac:dyDescent="0.4">
      <c r="B58" s="21"/>
      <c r="C58" s="21"/>
      <c r="D58" s="21"/>
      <c r="E58" s="21"/>
      <c r="F58" s="21"/>
      <c r="G58" s="21"/>
      <c r="H58" s="21"/>
      <c r="I58" s="21"/>
    </row>
  </sheetData>
  <sheetProtection formatCells="0" autoFilter="0"/>
  <phoneticPr fontId="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rgb="FFC00000"/>
    <outlinePr showOutlineSymbols="0"/>
  </sheetPr>
  <dimension ref="A1:AJ1000"/>
  <sheetViews>
    <sheetView showGridLines="0" showZeros="0" tabSelected="1" showOutlineSymbols="0" topLeftCell="A7" zoomScale="75" zoomScaleNormal="75" workbookViewId="0">
      <pane xSplit="7" ySplit="4" topLeftCell="H11" activePane="bottomRight" state="frozen"/>
      <selection activeCell="A7" sqref="A7"/>
      <selection pane="topRight" activeCell="H7" sqref="H7"/>
      <selection pane="bottomLeft" activeCell="A11" sqref="A11"/>
      <selection pane="bottomRight" activeCell="J79" sqref="J79"/>
    </sheetView>
  </sheetViews>
  <sheetFormatPr defaultColWidth="9" defaultRowHeight="22.25" customHeight="1" x14ac:dyDescent="0.4"/>
  <cols>
    <col min="1" max="1" width="9.6328125" style="1" customWidth="1"/>
    <col min="2" max="2" width="6" style="1" customWidth="1"/>
    <col min="3" max="3" width="9.08984375" style="1" customWidth="1"/>
    <col min="4" max="4" width="8.90625" style="1"/>
    <col min="5" max="5" width="1.08984375" style="1" customWidth="1"/>
    <col min="6" max="6" width="12.90625" style="219" customWidth="1"/>
    <col min="7" max="7" width="8.90625" style="219" customWidth="1"/>
    <col min="8" max="8" width="6.08984375" style="219" customWidth="1"/>
    <col min="9" max="9" width="8.6328125" style="354" customWidth="1"/>
    <col min="10" max="10" width="9.453125" style="219" customWidth="1"/>
    <col min="11" max="11" width="16.90625" style="337" customWidth="1"/>
    <col min="12" max="12" width="9.6328125" style="32" customWidth="1"/>
    <col min="13" max="13" width="14.08984375" style="32" customWidth="1"/>
    <col min="14" max="14" width="12.453125" style="1" customWidth="1"/>
    <col min="15" max="16" width="10.36328125" style="222" customWidth="1"/>
    <col min="17" max="18" width="8.6328125" style="59" customWidth="1"/>
    <col min="19" max="19" width="10.08984375" style="59" customWidth="1"/>
    <col min="20" max="26" width="10.08984375" style="1" customWidth="1"/>
    <col min="27" max="27" width="10.08984375" style="222" customWidth="1"/>
    <col min="28" max="28" width="9.90625" style="221" customWidth="1"/>
    <col min="29" max="29" width="11.90625" style="222" customWidth="1"/>
    <col min="30" max="30" width="11.6328125" style="222" customWidth="1"/>
    <col min="31" max="31" width="13.1796875" style="280" customWidth="1"/>
    <col min="32" max="32" width="11.08984375" style="1" customWidth="1"/>
    <col min="33" max="33" width="12.08984375" style="1" customWidth="1"/>
    <col min="34" max="34" width="17.6328125" style="1" customWidth="1"/>
    <col min="35" max="36" width="11.08984375" style="1" customWidth="1"/>
    <col min="37" max="38" width="6.6328125" style="1" customWidth="1"/>
    <col min="39" max="39" width="13.36328125" style="1" customWidth="1"/>
    <col min="40" max="40" width="14.90625" style="1" customWidth="1"/>
    <col min="41" max="88" width="9" style="1" customWidth="1"/>
    <col min="89" max="89" width="12.08984375" style="1" customWidth="1"/>
    <col min="90" max="90" width="17.6328125" style="1" customWidth="1"/>
    <col min="91" max="16384" width="9" style="1"/>
  </cols>
  <sheetData>
    <row r="1" spans="1:36" ht="22.25" hidden="1" customHeight="1" x14ac:dyDescent="0.4">
      <c r="A1" s="25"/>
      <c r="B1" s="25"/>
      <c r="C1" s="25"/>
      <c r="E1" s="25"/>
      <c r="N1" s="25"/>
      <c r="O1" s="244"/>
      <c r="P1" s="244"/>
      <c r="Q1" s="60"/>
      <c r="R1" s="60"/>
      <c r="S1" s="60"/>
      <c r="T1" s="25">
        <v>2</v>
      </c>
      <c r="U1" s="25">
        <v>13</v>
      </c>
      <c r="V1" s="25">
        <v>15</v>
      </c>
      <c r="W1" s="25"/>
      <c r="X1" s="25"/>
      <c r="Y1" s="25"/>
      <c r="Z1" s="25"/>
      <c r="AA1" s="244"/>
      <c r="AC1" s="244"/>
      <c r="AD1" s="244"/>
    </row>
    <row r="2" spans="1:36" ht="22.25" hidden="1" customHeight="1" x14ac:dyDescent="0.4">
      <c r="A2" s="25"/>
      <c r="B2" s="25"/>
      <c r="C2" s="25"/>
      <c r="E2" s="25"/>
      <c r="F2" s="218"/>
      <c r="G2" s="218"/>
      <c r="H2" s="218"/>
      <c r="I2" s="347"/>
      <c r="J2" s="218"/>
      <c r="K2" s="347"/>
      <c r="L2" s="36" t="s">
        <v>79</v>
      </c>
      <c r="M2" s="36"/>
      <c r="N2" s="17" t="s">
        <v>92</v>
      </c>
      <c r="O2" s="245" t="s">
        <v>136</v>
      </c>
      <c r="P2" s="19" t="s">
        <v>1</v>
      </c>
      <c r="Q2" s="677" t="s">
        <v>104</v>
      </c>
      <c r="R2" s="678"/>
      <c r="S2" s="18" t="s">
        <v>115</v>
      </c>
      <c r="T2" s="18" t="s">
        <v>6</v>
      </c>
      <c r="U2" s="18" t="s">
        <v>105</v>
      </c>
      <c r="V2" s="26" t="s">
        <v>77</v>
      </c>
      <c r="W2" s="18"/>
      <c r="X2" s="18" t="s">
        <v>6</v>
      </c>
      <c r="Y2" s="18" t="s">
        <v>105</v>
      </c>
      <c r="Z2" s="26" t="s">
        <v>77</v>
      </c>
      <c r="AA2" s="223" t="s">
        <v>98</v>
      </c>
      <c r="AB2" s="229" t="str">
        <f>$L$9&amp;"年度"</f>
        <v>109年度</v>
      </c>
      <c r="AC2" s="220" t="str">
        <f>"年 1/1前 "</f>
        <v xml:space="preserve">年 1/1前 </v>
      </c>
      <c r="AD2" s="220" t="str">
        <f>"年度 1/1後"</f>
        <v>年度 1/1後</v>
      </c>
      <c r="AE2" s="258" t="str">
        <f>$L$9+1&amp;"年度前"</f>
        <v>110年度前</v>
      </c>
      <c r="AF2" s="258" t="str">
        <f>$L$9+1&amp;"年度後"</f>
        <v>110年度後</v>
      </c>
    </row>
    <row r="3" spans="1:36" ht="22.25" hidden="1" customHeight="1" x14ac:dyDescent="0.4">
      <c r="A3" s="25"/>
      <c r="B3" s="25"/>
      <c r="C3" s="25"/>
      <c r="E3" s="25"/>
      <c r="F3" s="22"/>
      <c r="G3" s="22"/>
      <c r="H3" s="22"/>
      <c r="I3" s="24"/>
      <c r="J3" s="22"/>
      <c r="K3" s="24"/>
      <c r="L3" s="23"/>
      <c r="M3" s="37">
        <v>43910</v>
      </c>
      <c r="N3" s="66">
        <f>M3+L3</f>
        <v>43910</v>
      </c>
      <c r="O3" s="246">
        <f>IF($N3=0,0,DATEDIF($N3+$L3,DATE($L$9+1911,MONTH(N3),DAY(N3))+$L3,"Y"))</f>
        <v>0</v>
      </c>
      <c r="P3" s="246">
        <f>IF(O3&gt;24,30,VLOOKUP($O3,特休,2,0))</f>
        <v>0</v>
      </c>
      <c r="Q3" s="62">
        <f>1-(MONTH(N3)-1+(DAY(N3)-1)/DAY(EOMONTH((N3-1),0)))/12</f>
        <v>0.782258064516129</v>
      </c>
      <c r="R3" s="62">
        <f>1-Q3</f>
        <v>0.217741935483871</v>
      </c>
      <c r="S3" s="63">
        <f>AB3</f>
        <v>1.69</v>
      </c>
      <c r="T3" s="63">
        <f>IF(O3=0,0,VLOOKUP(IF($O3&gt;$N$5,$N$5,$O3-1),特休,2,0)-ROUNDUP(VLOOKUP(IF(($O3-1)&gt;$N$5,$N$5,($O3-1)),特休,2,0)*$Q3,0))</f>
        <v>0</v>
      </c>
      <c r="U3" s="63">
        <f>ROUNDUP(IF($O3=0,0,VLOOKUP(IF($O3&gt;$N$5,$N$5,$O3),特休,2,0)*$Q3),0)</f>
        <v>0</v>
      </c>
      <c r="V3" s="63">
        <f>$S3+$T3+$U3+$AA3</f>
        <v>1.69</v>
      </c>
      <c r="W3" s="64">
        <f>$AB3</f>
        <v>1.69</v>
      </c>
      <c r="X3" s="64">
        <f>IF(ISNA(VLOOKUP(IF($O3&gt;$N$5,$N$5,$O3-1),特休,2,0)*(1-$Q3)),0,ROUND(VLOOKUP(IF($O3&gt;$N$5,$N$5,$O3-1),特休,2,0)*(1-$Q3),2))</f>
        <v>0</v>
      </c>
      <c r="Y3" s="65">
        <f>IF(ISNA(VLOOKUP(IF($O3&gt;$N$5,$N$5,$O3),特休,2,0)*(1-$Q3)),0,VLOOKUP(IF($O3&gt;$N$5,$N$5,$O3),特休,2,0)-ROUND(VLOOKUP(IF($O3&gt;$N$5,$N$5,$O3),特休,2,0)*(1-$Q3),2))</f>
        <v>0</v>
      </c>
      <c r="Z3" s="65">
        <f>$W3+$X3+$Y3+$AA3</f>
        <v>1.69</v>
      </c>
      <c r="AA3" s="237"/>
      <c r="AB3" s="351">
        <f>IF(AND($N3&gt;=$AI$12,$N3&lt;=$AJ$11),3,AD3+AE3)</f>
        <v>1.69</v>
      </c>
      <c r="AC3" s="230">
        <f>IF(AD3=0,0,3-AD3)</f>
        <v>0</v>
      </c>
      <c r="AD3" s="230">
        <f>IF(AND($N3&gt;$AI$11,$N3&lt;$AI$12),ROUND(3*(MONTH($N3)-1+(DAY($N3)-1)/DAY(EOMONTH(($N3-1),0)))/6,2),0)</f>
        <v>0</v>
      </c>
      <c r="AE3" s="353">
        <f>IF(AND($N3&gt;$AJ$11,$N3&lt;$AJ$12),3-ROUND(3*(MONTH($N3)-1+(DAY($N3)-1)/DAY(EOMONTH(($N3-1),0)))/6,2),0)</f>
        <v>1.69</v>
      </c>
      <c r="AF3" s="352">
        <f>IF($AE3=0,0,3-$AE3)</f>
        <v>1.31</v>
      </c>
    </row>
    <row r="4" spans="1:36" ht="22.25" hidden="1" customHeight="1" x14ac:dyDescent="0.4">
      <c r="A4" s="25"/>
      <c r="B4" s="25"/>
      <c r="C4" s="25"/>
      <c r="E4" s="25"/>
      <c r="F4" s="34"/>
      <c r="G4" s="34"/>
      <c r="H4" s="34"/>
      <c r="I4" s="339"/>
      <c r="J4" s="34"/>
      <c r="K4" s="339"/>
      <c r="L4" s="35"/>
      <c r="M4" s="37"/>
      <c r="N4" s="67"/>
      <c r="O4" s="245"/>
      <c r="P4" s="19"/>
      <c r="Q4" s="241"/>
      <c r="R4" s="241"/>
      <c r="S4" s="70"/>
      <c r="T4" s="70"/>
      <c r="U4" s="70"/>
      <c r="V4" s="70"/>
      <c r="W4" s="68"/>
      <c r="X4" s="68"/>
      <c r="Y4" s="69"/>
      <c r="Z4" s="69"/>
      <c r="AA4" s="253"/>
      <c r="AB4" s="258"/>
      <c r="AC4" s="259"/>
      <c r="AD4" s="259"/>
      <c r="AE4" s="345"/>
      <c r="AF4" s="345"/>
    </row>
    <row r="5" spans="1:36" ht="22.25" hidden="1" customHeight="1" x14ac:dyDescent="0.4">
      <c r="A5" s="25"/>
      <c r="B5" s="25"/>
      <c r="C5" s="25"/>
      <c r="E5" s="25"/>
      <c r="L5" s="82"/>
      <c r="M5" s="82"/>
      <c r="N5" s="242">
        <v>24</v>
      </c>
      <c r="O5" s="675" t="s">
        <v>7</v>
      </c>
      <c r="P5" s="676"/>
      <c r="R5" s="61"/>
      <c r="S5" s="61"/>
      <c r="T5" s="27"/>
      <c r="U5" s="27"/>
      <c r="V5" s="27"/>
      <c r="W5" s="27"/>
      <c r="X5" s="20"/>
      <c r="Y5" s="27">
        <f>ROUNDUP((7 + 1/31 )/12 * 7,1)</f>
        <v>4.1999999999999993</v>
      </c>
      <c r="Z5" s="27">
        <f xml:space="preserve"> (10 -ROUNDUP( (7 + 1/31 )/12 * 10,1))</f>
        <v>4.1000000000000005</v>
      </c>
      <c r="AA5" s="27"/>
      <c r="AC5" s="244"/>
      <c r="AD5" s="244"/>
    </row>
    <row r="6" spans="1:36" ht="22.25" hidden="1" customHeight="1" thickBot="1" x14ac:dyDescent="0.45">
      <c r="A6" s="25"/>
      <c r="B6" s="25"/>
      <c r="C6" s="25"/>
      <c r="E6" s="25"/>
      <c r="N6" s="25"/>
      <c r="O6" s="244"/>
      <c r="P6" s="244"/>
      <c r="Q6" s="60"/>
      <c r="R6" s="60"/>
      <c r="S6" s="60"/>
      <c r="T6" s="25"/>
      <c r="U6" s="25"/>
      <c r="V6" s="25"/>
      <c r="W6" s="25"/>
      <c r="X6" s="25"/>
      <c r="Y6" s="25"/>
      <c r="Z6" s="25"/>
      <c r="AA6" s="244"/>
      <c r="AC6" s="244"/>
      <c r="AD6" s="244"/>
    </row>
    <row r="7" spans="1:36" ht="22.25" customHeight="1" thickTop="1" thickBot="1" x14ac:dyDescent="0.45">
      <c r="A7" s="51" t="s">
        <v>103</v>
      </c>
      <c r="B7" s="51"/>
      <c r="C7" s="51"/>
      <c r="D7" s="51"/>
      <c r="E7" s="51"/>
      <c r="F7" s="52"/>
      <c r="G7" s="52"/>
      <c r="H7" s="52"/>
      <c r="I7" s="372"/>
      <c r="J7" s="52"/>
      <c r="K7" s="338"/>
      <c r="L7" s="672" t="s">
        <v>243</v>
      </c>
      <c r="M7" s="673"/>
      <c r="N7" s="674"/>
      <c r="O7" s="1"/>
      <c r="P7" s="1"/>
      <c r="Q7" s="1"/>
      <c r="R7" s="1"/>
      <c r="T7" s="267"/>
      <c r="U7" s="268" t="s">
        <v>150</v>
      </c>
      <c r="V7" s="269" t="s">
        <v>151</v>
      </c>
      <c r="W7" s="243">
        <v>37043</v>
      </c>
      <c r="X7" s="270" t="s">
        <v>152</v>
      </c>
      <c r="Y7" s="247">
        <v>37103</v>
      </c>
      <c r="Z7" s="271" t="s">
        <v>153</v>
      </c>
      <c r="AA7" s="267">
        <f>IF(OR(W7=0,Y7=0),0,Y7-W7+1)</f>
        <v>61</v>
      </c>
      <c r="AB7" s="224" t="s">
        <v>154</v>
      </c>
      <c r="AC7" s="244"/>
      <c r="AD7" s="244"/>
    </row>
    <row r="8" spans="1:36" ht="19.25" customHeight="1" x14ac:dyDescent="0.4">
      <c r="A8" s="687" t="s">
        <v>137</v>
      </c>
      <c r="B8" s="687"/>
      <c r="C8" s="687"/>
      <c r="D8" s="687"/>
      <c r="F8" s="689" t="s">
        <v>121</v>
      </c>
      <c r="G8" s="690"/>
      <c r="H8" s="690"/>
      <c r="I8" s="690"/>
      <c r="J8" s="691"/>
      <c r="K8" s="341" t="s">
        <v>66</v>
      </c>
      <c r="L8" s="262" t="s">
        <v>5</v>
      </c>
      <c r="M8" s="263" t="s">
        <v>2</v>
      </c>
      <c r="N8" s="264" t="s">
        <v>3</v>
      </c>
      <c r="O8" s="683" t="s">
        <v>135</v>
      </c>
      <c r="P8" s="684"/>
      <c r="Q8" s="679" t="s">
        <v>104</v>
      </c>
      <c r="R8" s="680"/>
      <c r="AA8" s="695" t="s">
        <v>138</v>
      </c>
      <c r="AB8" s="694" t="s">
        <v>140</v>
      </c>
      <c r="AC8" s="694"/>
      <c r="AD8" s="694"/>
      <c r="AE8" s="694"/>
      <c r="AF8" s="694"/>
    </row>
    <row r="9" spans="1:36" ht="27" customHeight="1" thickBot="1" x14ac:dyDescent="0.45">
      <c r="A9" s="688" t="s">
        <v>102</v>
      </c>
      <c r="B9" s="688"/>
      <c r="C9" s="688"/>
      <c r="D9" s="688"/>
      <c r="K9" s="340"/>
      <c r="L9" s="252">
        <v>109</v>
      </c>
      <c r="M9" s="265">
        <v>12</v>
      </c>
      <c r="N9" s="266">
        <v>31</v>
      </c>
      <c r="O9" s="692" t="s">
        <v>82</v>
      </c>
      <c r="P9" s="693"/>
      <c r="Q9" s="681" t="s">
        <v>139</v>
      </c>
      <c r="R9" s="682" t="s">
        <v>134</v>
      </c>
      <c r="S9" s="698" t="s">
        <v>1324</v>
      </c>
      <c r="T9" s="699"/>
      <c r="U9" s="699"/>
      <c r="V9" s="700"/>
      <c r="W9" s="697" t="s">
        <v>81</v>
      </c>
      <c r="X9" s="692"/>
      <c r="Y9" s="692"/>
      <c r="Z9" s="693"/>
      <c r="AA9" s="696"/>
      <c r="AB9" s="694"/>
      <c r="AC9" s="694"/>
      <c r="AD9" s="694"/>
      <c r="AE9" s="694"/>
      <c r="AF9" s="694"/>
    </row>
    <row r="10" spans="1:36" ht="53.15" customHeight="1" thickTop="1" x14ac:dyDescent="0.4">
      <c r="A10" s="41" t="s">
        <v>99</v>
      </c>
      <c r="B10" s="45" t="s">
        <v>69</v>
      </c>
      <c r="C10" s="45" t="s">
        <v>100</v>
      </c>
      <c r="D10" s="38" t="s">
        <v>101</v>
      </c>
      <c r="E10" s="10"/>
      <c r="F10" s="100" t="s">
        <v>73</v>
      </c>
      <c r="G10" s="100" t="s">
        <v>74</v>
      </c>
      <c r="H10" s="101" t="s">
        <v>78</v>
      </c>
      <c r="I10" s="373" t="s">
        <v>80</v>
      </c>
      <c r="J10" s="100" t="s">
        <v>75</v>
      </c>
      <c r="K10" s="100" t="s">
        <v>76</v>
      </c>
      <c r="L10" s="250" t="s">
        <v>79</v>
      </c>
      <c r="M10" s="250" t="s">
        <v>92</v>
      </c>
      <c r="N10" s="251" t="s">
        <v>97</v>
      </c>
      <c r="O10" s="248" t="s">
        <v>136</v>
      </c>
      <c r="P10" s="19" t="s">
        <v>1</v>
      </c>
      <c r="Q10" s="681"/>
      <c r="R10" s="682"/>
      <c r="S10" s="254" t="s">
        <v>143</v>
      </c>
      <c r="T10" s="254" t="s">
        <v>144</v>
      </c>
      <c r="U10" s="254" t="s">
        <v>145</v>
      </c>
      <c r="V10" s="255" t="s">
        <v>146</v>
      </c>
      <c r="W10" s="256" t="s">
        <v>147</v>
      </c>
      <c r="X10" s="256" t="s">
        <v>144</v>
      </c>
      <c r="Y10" s="256" t="s">
        <v>145</v>
      </c>
      <c r="Z10" s="256" t="s">
        <v>148</v>
      </c>
      <c r="AA10" s="257" t="s">
        <v>149</v>
      </c>
      <c r="AB10" s="258" t="str">
        <f>$L$9&amp;"年度"</f>
        <v>109年度</v>
      </c>
      <c r="AC10" s="348" t="str">
        <f>$L$9&amp;"年度 1/1前"</f>
        <v>109年度 1/1前</v>
      </c>
      <c r="AD10" s="349" t="str">
        <f>$L$9&amp;"年度 1/1後"</f>
        <v>109年度 1/1後</v>
      </c>
      <c r="AE10" s="349" t="str">
        <f>"到職日後"&amp;$L$9+1&amp;"年度前"</f>
        <v>到職日後110年度前</v>
      </c>
      <c r="AF10" s="348" t="str">
        <f>$L$9+1&amp;"年度 1/1後"</f>
        <v>110年度 1/1後</v>
      </c>
      <c r="AI10" s="685" t="s">
        <v>1319</v>
      </c>
      <c r="AJ10" s="686"/>
    </row>
    <row r="11" spans="1:36" ht="22.25" customHeight="1" x14ac:dyDescent="0.4">
      <c r="A11" s="42" t="s">
        <v>141</v>
      </c>
      <c r="B11" s="46" t="s">
        <v>0</v>
      </c>
      <c r="C11" s="47" t="s">
        <v>141</v>
      </c>
      <c r="D11" s="13" t="s">
        <v>141</v>
      </c>
      <c r="E11" s="14"/>
      <c r="F11" s="34" t="s">
        <v>1325</v>
      </c>
      <c r="G11" s="34" t="s">
        <v>1326</v>
      </c>
      <c r="H11" s="34"/>
      <c r="I11" s="339" t="s">
        <v>1327</v>
      </c>
      <c r="J11" s="34" t="s">
        <v>1328</v>
      </c>
      <c r="K11" s="339"/>
      <c r="L11" s="35"/>
      <c r="M11" s="37">
        <v>37347</v>
      </c>
      <c r="N11" s="231">
        <v>37347</v>
      </c>
      <c r="O11" s="33">
        <v>18</v>
      </c>
      <c r="P11" s="28">
        <v>24</v>
      </c>
      <c r="Q11" s="249">
        <v>0.75</v>
      </c>
      <c r="R11" s="249">
        <v>0.25</v>
      </c>
      <c r="S11" s="232">
        <v>0</v>
      </c>
      <c r="T11" s="232">
        <v>5</v>
      </c>
      <c r="U11" s="232">
        <v>18</v>
      </c>
      <c r="V11" s="232">
        <v>23</v>
      </c>
      <c r="W11" s="233">
        <v>0</v>
      </c>
      <c r="X11" s="233">
        <v>5.75</v>
      </c>
      <c r="Y11" s="234">
        <v>18</v>
      </c>
      <c r="Z11" s="234">
        <v>23.75</v>
      </c>
      <c r="AA11" s="253"/>
      <c r="AB11" s="260">
        <v>0</v>
      </c>
      <c r="AC11" s="261">
        <v>0</v>
      </c>
      <c r="AD11" s="261">
        <v>0</v>
      </c>
      <c r="AE11" s="346">
        <v>0</v>
      </c>
      <c r="AF11" s="346">
        <v>0</v>
      </c>
      <c r="AI11" s="336">
        <f>DATE($L$9+1911-1,1,1)</f>
        <v>43466</v>
      </c>
      <c r="AJ11" s="350">
        <f>DATE(L9+1911,1,1)</f>
        <v>43831</v>
      </c>
    </row>
    <row r="12" spans="1:36" ht="22.25" customHeight="1" x14ac:dyDescent="0.4">
      <c r="A12" s="43">
        <v>0</v>
      </c>
      <c r="B12" s="48">
        <v>0</v>
      </c>
      <c r="C12" s="49">
        <v>0</v>
      </c>
      <c r="D12" s="39"/>
      <c r="E12" s="15"/>
      <c r="F12" s="22" t="s">
        <v>1329</v>
      </c>
      <c r="G12" s="22" t="s">
        <v>1330</v>
      </c>
      <c r="H12" s="22"/>
      <c r="I12" s="24" t="s">
        <v>1327</v>
      </c>
      <c r="J12" s="22" t="s">
        <v>1328</v>
      </c>
      <c r="K12" s="24"/>
      <c r="L12" s="23"/>
      <c r="M12" s="37">
        <v>38237</v>
      </c>
      <c r="N12" s="235">
        <v>38237</v>
      </c>
      <c r="O12" s="24">
        <v>16</v>
      </c>
      <c r="P12" s="24">
        <v>22</v>
      </c>
      <c r="Q12" s="236">
        <v>0.31666666666666676</v>
      </c>
      <c r="R12" s="236">
        <v>0.68333333333333324</v>
      </c>
      <c r="S12" s="237">
        <v>0</v>
      </c>
      <c r="T12" s="237">
        <v>14</v>
      </c>
      <c r="U12" s="237">
        <v>7</v>
      </c>
      <c r="V12" s="237">
        <v>21</v>
      </c>
      <c r="W12" s="238">
        <v>0</v>
      </c>
      <c r="X12" s="238">
        <v>14.35</v>
      </c>
      <c r="Y12" s="239">
        <v>6.9700000000000006</v>
      </c>
      <c r="Z12" s="239">
        <v>21.32</v>
      </c>
      <c r="AA12" s="237"/>
      <c r="AB12" s="240">
        <v>0</v>
      </c>
      <c r="AC12" s="225">
        <v>0</v>
      </c>
      <c r="AD12" s="225">
        <v>0</v>
      </c>
      <c r="AE12" s="237">
        <v>0</v>
      </c>
      <c r="AF12" s="352">
        <v>0</v>
      </c>
      <c r="AI12" s="336">
        <f>DATE($L$9+1911-1,7,1)</f>
        <v>43647</v>
      </c>
      <c r="AJ12" s="350">
        <f>DATE(L9+1911,7,1)</f>
        <v>44013</v>
      </c>
    </row>
    <row r="13" spans="1:36" ht="22.25" customHeight="1" x14ac:dyDescent="0.4">
      <c r="A13" s="43">
        <v>3</v>
      </c>
      <c r="B13" s="48">
        <v>0.5</v>
      </c>
      <c r="C13" s="49">
        <f>$A13+$D13</f>
        <v>3</v>
      </c>
      <c r="D13" s="39"/>
      <c r="E13" s="15"/>
      <c r="F13" s="34" t="s">
        <v>1331</v>
      </c>
      <c r="G13" s="34" t="s">
        <v>1332</v>
      </c>
      <c r="H13" s="34"/>
      <c r="I13" s="339" t="s">
        <v>1327</v>
      </c>
      <c r="J13" s="34" t="s">
        <v>1328</v>
      </c>
      <c r="K13" s="339"/>
      <c r="L13" s="35"/>
      <c r="M13" s="37">
        <v>39310</v>
      </c>
      <c r="N13" s="231">
        <v>39310</v>
      </c>
      <c r="O13" s="33">
        <v>13</v>
      </c>
      <c r="P13" s="28">
        <v>19</v>
      </c>
      <c r="Q13" s="249">
        <v>0.37634408602150538</v>
      </c>
      <c r="R13" s="249">
        <v>0.62365591397849462</v>
      </c>
      <c r="S13" s="232">
        <v>0</v>
      </c>
      <c r="T13" s="232">
        <v>11</v>
      </c>
      <c r="U13" s="232">
        <v>8</v>
      </c>
      <c r="V13" s="232">
        <v>19</v>
      </c>
      <c r="W13" s="233">
        <v>0</v>
      </c>
      <c r="X13" s="233">
        <v>11.23</v>
      </c>
      <c r="Y13" s="234">
        <v>7.15</v>
      </c>
      <c r="Z13" s="234">
        <v>18.380000000000003</v>
      </c>
      <c r="AA13" s="253"/>
      <c r="AB13" s="260">
        <v>0</v>
      </c>
      <c r="AC13" s="261">
        <v>0</v>
      </c>
      <c r="AD13" s="261">
        <v>0</v>
      </c>
      <c r="AE13" s="346">
        <v>0</v>
      </c>
      <c r="AF13" s="346">
        <v>0</v>
      </c>
      <c r="AG13" s="1">
        <f>IF(AND($N13&gt;$AJ$11,$N13&lt;$AJ$12),3-3*(MONTH($N13)-1+(DAY($N13)-1)/DAY(EOMONTH(($N13-1),0)))/6,0)</f>
        <v>0</v>
      </c>
    </row>
    <row r="14" spans="1:36" ht="22.25" customHeight="1" x14ac:dyDescent="0.4">
      <c r="A14" s="43">
        <v>7</v>
      </c>
      <c r="B14" s="50">
        <v>1</v>
      </c>
      <c r="C14" s="49">
        <f t="shared" ref="C14:C59" si="0">$A14+$D14</f>
        <v>7</v>
      </c>
      <c r="D14" s="39"/>
      <c r="E14" s="15"/>
      <c r="F14" s="22" t="s">
        <v>1333</v>
      </c>
      <c r="G14" s="22" t="s">
        <v>1334</v>
      </c>
      <c r="H14" s="22"/>
      <c r="I14" s="24" t="s">
        <v>1327</v>
      </c>
      <c r="J14" s="22" t="s">
        <v>1328</v>
      </c>
      <c r="K14" s="24"/>
      <c r="L14" s="23"/>
      <c r="M14" s="37">
        <v>41456</v>
      </c>
      <c r="N14" s="235">
        <v>41456</v>
      </c>
      <c r="O14" s="24">
        <v>7</v>
      </c>
      <c r="P14" s="24">
        <v>15</v>
      </c>
      <c r="Q14" s="236">
        <v>0.5</v>
      </c>
      <c r="R14" s="236">
        <v>0.5</v>
      </c>
      <c r="S14" s="237">
        <v>0</v>
      </c>
      <c r="T14" s="237">
        <v>7</v>
      </c>
      <c r="U14" s="237">
        <v>8</v>
      </c>
      <c r="V14" s="237">
        <v>15</v>
      </c>
      <c r="W14" s="238">
        <v>0</v>
      </c>
      <c r="X14" s="238">
        <v>7.5</v>
      </c>
      <c r="Y14" s="239">
        <v>7.5</v>
      </c>
      <c r="Z14" s="239">
        <v>15</v>
      </c>
      <c r="AA14" s="237"/>
      <c r="AB14" s="240">
        <v>0</v>
      </c>
      <c r="AC14" s="225">
        <v>0</v>
      </c>
      <c r="AD14" s="225">
        <v>0</v>
      </c>
      <c r="AE14" s="237">
        <v>0</v>
      </c>
      <c r="AF14" s="352">
        <v>0</v>
      </c>
    </row>
    <row r="15" spans="1:36" ht="22.25" customHeight="1" x14ac:dyDescent="0.4">
      <c r="A15" s="43">
        <v>10</v>
      </c>
      <c r="B15" s="50">
        <v>2</v>
      </c>
      <c r="C15" s="49">
        <f t="shared" si="0"/>
        <v>10</v>
      </c>
      <c r="D15" s="39"/>
      <c r="E15" s="15"/>
      <c r="F15" s="34" t="s">
        <v>1335</v>
      </c>
      <c r="G15" s="34" t="s">
        <v>1336</v>
      </c>
      <c r="H15" s="34"/>
      <c r="I15" s="339" t="s">
        <v>1327</v>
      </c>
      <c r="J15" s="34" t="s">
        <v>1328</v>
      </c>
      <c r="K15" s="339"/>
      <c r="L15" s="35"/>
      <c r="M15" s="37">
        <v>43206</v>
      </c>
      <c r="N15" s="231">
        <v>43206</v>
      </c>
      <c r="O15" s="33">
        <v>2</v>
      </c>
      <c r="P15" s="28">
        <v>10</v>
      </c>
      <c r="Q15" s="249">
        <v>0.70833333333333326</v>
      </c>
      <c r="R15" s="249">
        <v>0.29166666666666674</v>
      </c>
      <c r="S15" s="232">
        <v>0</v>
      </c>
      <c r="T15" s="232">
        <v>2</v>
      </c>
      <c r="U15" s="232">
        <v>8</v>
      </c>
      <c r="V15" s="232">
        <v>10</v>
      </c>
      <c r="W15" s="233">
        <v>0</v>
      </c>
      <c r="X15" s="233">
        <v>2.04</v>
      </c>
      <c r="Y15" s="234">
        <v>7.08</v>
      </c>
      <c r="Z15" s="234">
        <v>9.120000000000001</v>
      </c>
      <c r="AA15" s="253"/>
      <c r="AB15" s="260">
        <v>0</v>
      </c>
      <c r="AC15" s="261">
        <v>0</v>
      </c>
      <c r="AD15" s="261">
        <v>0</v>
      </c>
      <c r="AE15" s="346">
        <v>0</v>
      </c>
      <c r="AF15" s="346">
        <v>0</v>
      </c>
    </row>
    <row r="16" spans="1:36" ht="22.25" customHeight="1" x14ac:dyDescent="0.4">
      <c r="A16" s="43">
        <v>14</v>
      </c>
      <c r="B16" s="50">
        <v>3</v>
      </c>
      <c r="C16" s="49">
        <f t="shared" si="0"/>
        <v>14</v>
      </c>
      <c r="D16" s="39"/>
      <c r="E16" s="15"/>
      <c r="F16" s="22" t="s">
        <v>1337</v>
      </c>
      <c r="G16" s="22" t="s">
        <v>1338</v>
      </c>
      <c r="H16" s="22"/>
      <c r="I16" s="24" t="s">
        <v>1327</v>
      </c>
      <c r="J16" s="22" t="s">
        <v>1328</v>
      </c>
      <c r="K16" s="24"/>
      <c r="L16" s="23"/>
      <c r="M16" s="37">
        <v>43724</v>
      </c>
      <c r="N16" s="235">
        <v>43724</v>
      </c>
      <c r="O16" s="24">
        <v>1</v>
      </c>
      <c r="P16" s="24">
        <v>7</v>
      </c>
      <c r="Q16" s="236">
        <v>0.29166666666666663</v>
      </c>
      <c r="R16" s="236">
        <v>0.70833333333333337</v>
      </c>
      <c r="S16" s="237">
        <v>3</v>
      </c>
      <c r="T16" s="237">
        <v>0</v>
      </c>
      <c r="U16" s="237">
        <v>3</v>
      </c>
      <c r="V16" s="237">
        <v>6</v>
      </c>
      <c r="W16" s="238">
        <v>3</v>
      </c>
      <c r="X16" s="238">
        <v>0</v>
      </c>
      <c r="Y16" s="239">
        <v>2.04</v>
      </c>
      <c r="Z16" s="239">
        <v>5.04</v>
      </c>
      <c r="AA16" s="237"/>
      <c r="AB16" s="240">
        <v>3</v>
      </c>
      <c r="AC16" s="225">
        <v>0</v>
      </c>
      <c r="AD16" s="225">
        <v>0</v>
      </c>
      <c r="AE16" s="237">
        <v>0</v>
      </c>
      <c r="AF16" s="352">
        <v>0</v>
      </c>
    </row>
    <row r="17" spans="1:32" ht="22.25" customHeight="1" x14ac:dyDescent="0.4">
      <c r="A17" s="43">
        <v>14</v>
      </c>
      <c r="B17" s="50">
        <v>4</v>
      </c>
      <c r="C17" s="49">
        <f t="shared" si="0"/>
        <v>14</v>
      </c>
      <c r="D17" s="39"/>
      <c r="E17" s="15"/>
      <c r="F17" s="34" t="s">
        <v>1339</v>
      </c>
      <c r="G17" s="34" t="s">
        <v>1340</v>
      </c>
      <c r="H17" s="34"/>
      <c r="I17" s="339" t="s">
        <v>1327</v>
      </c>
      <c r="J17" s="34" t="s">
        <v>1341</v>
      </c>
      <c r="K17" s="339"/>
      <c r="L17" s="35"/>
      <c r="M17" s="37">
        <v>37135</v>
      </c>
      <c r="N17" s="231">
        <v>37135</v>
      </c>
      <c r="O17" s="33">
        <v>19</v>
      </c>
      <c r="P17" s="28">
        <v>25</v>
      </c>
      <c r="Q17" s="249">
        <v>0.33333333333333337</v>
      </c>
      <c r="R17" s="249">
        <v>0.66666666666666663</v>
      </c>
      <c r="S17" s="232">
        <v>0</v>
      </c>
      <c r="T17" s="232">
        <v>16</v>
      </c>
      <c r="U17" s="232">
        <v>9</v>
      </c>
      <c r="V17" s="232">
        <v>25</v>
      </c>
      <c r="W17" s="233">
        <v>0</v>
      </c>
      <c r="X17" s="233">
        <v>16</v>
      </c>
      <c r="Y17" s="234">
        <v>8.3299999999999983</v>
      </c>
      <c r="Z17" s="234">
        <v>24.33</v>
      </c>
      <c r="AA17" s="253"/>
      <c r="AB17" s="260">
        <v>0</v>
      </c>
      <c r="AC17" s="261">
        <v>0</v>
      </c>
      <c r="AD17" s="261">
        <v>0</v>
      </c>
      <c r="AE17" s="346">
        <v>0</v>
      </c>
      <c r="AF17" s="346">
        <v>0</v>
      </c>
    </row>
    <row r="18" spans="1:32" ht="22.25" customHeight="1" x14ac:dyDescent="0.4">
      <c r="A18" s="43">
        <v>15</v>
      </c>
      <c r="B18" s="50">
        <v>5</v>
      </c>
      <c r="C18" s="49">
        <f t="shared" si="0"/>
        <v>15</v>
      </c>
      <c r="D18" s="39"/>
      <c r="E18" s="15"/>
      <c r="F18" s="22" t="s">
        <v>1342</v>
      </c>
      <c r="G18" s="22" t="s">
        <v>1343</v>
      </c>
      <c r="H18" s="22"/>
      <c r="I18" s="24" t="s">
        <v>1327</v>
      </c>
      <c r="J18" s="22" t="s">
        <v>1341</v>
      </c>
      <c r="K18" s="24"/>
      <c r="L18" s="23"/>
      <c r="M18" s="37">
        <v>37135</v>
      </c>
      <c r="N18" s="235">
        <v>37135</v>
      </c>
      <c r="O18" s="24">
        <v>19</v>
      </c>
      <c r="P18" s="24">
        <v>25</v>
      </c>
      <c r="Q18" s="236">
        <v>0.33333333333333337</v>
      </c>
      <c r="R18" s="236">
        <v>0.66666666666666663</v>
      </c>
      <c r="S18" s="237">
        <v>0</v>
      </c>
      <c r="T18" s="237">
        <v>16</v>
      </c>
      <c r="U18" s="237">
        <v>9</v>
      </c>
      <c r="V18" s="237">
        <v>25</v>
      </c>
      <c r="W18" s="238">
        <v>0</v>
      </c>
      <c r="X18" s="238">
        <v>16</v>
      </c>
      <c r="Y18" s="239">
        <v>8.3299999999999983</v>
      </c>
      <c r="Z18" s="239">
        <v>24.33</v>
      </c>
      <c r="AA18" s="237"/>
      <c r="AB18" s="240">
        <v>0</v>
      </c>
      <c r="AC18" s="225">
        <v>0</v>
      </c>
      <c r="AD18" s="225">
        <v>0</v>
      </c>
      <c r="AE18" s="237">
        <v>0</v>
      </c>
      <c r="AF18" s="352">
        <v>0</v>
      </c>
    </row>
    <row r="19" spans="1:32" ht="22.25" customHeight="1" x14ac:dyDescent="0.4">
      <c r="A19" s="44">
        <v>15</v>
      </c>
      <c r="B19" s="50">
        <v>6</v>
      </c>
      <c r="C19" s="49">
        <f t="shared" si="0"/>
        <v>15</v>
      </c>
      <c r="D19" s="40"/>
      <c r="E19" s="16"/>
      <c r="F19" s="34" t="s">
        <v>1344</v>
      </c>
      <c r="G19" s="34" t="s">
        <v>1345</v>
      </c>
      <c r="H19" s="34"/>
      <c r="I19" s="339" t="s">
        <v>1327</v>
      </c>
      <c r="J19" s="34" t="s">
        <v>1341</v>
      </c>
      <c r="K19" s="339"/>
      <c r="L19" s="35"/>
      <c r="M19" s="37">
        <v>42310</v>
      </c>
      <c r="N19" s="231">
        <v>42310</v>
      </c>
      <c r="O19" s="33">
        <v>5</v>
      </c>
      <c r="P19" s="28">
        <v>15</v>
      </c>
      <c r="Q19" s="249">
        <v>0.16388888888888886</v>
      </c>
      <c r="R19" s="249">
        <v>0.83611111111111114</v>
      </c>
      <c r="S19" s="232">
        <v>0</v>
      </c>
      <c r="T19" s="232">
        <v>11</v>
      </c>
      <c r="U19" s="232">
        <v>3</v>
      </c>
      <c r="V19" s="232">
        <v>14</v>
      </c>
      <c r="W19" s="233">
        <v>0</v>
      </c>
      <c r="X19" s="233">
        <v>11.71</v>
      </c>
      <c r="Y19" s="234">
        <v>2.4600000000000009</v>
      </c>
      <c r="Z19" s="234">
        <v>14.170000000000002</v>
      </c>
      <c r="AA19" s="253"/>
      <c r="AB19" s="260">
        <v>0</v>
      </c>
      <c r="AC19" s="261">
        <v>0</v>
      </c>
      <c r="AD19" s="261">
        <v>0</v>
      </c>
      <c r="AE19" s="346">
        <v>0</v>
      </c>
      <c r="AF19" s="346">
        <v>0</v>
      </c>
    </row>
    <row r="20" spans="1:32" ht="22.25" customHeight="1" x14ac:dyDescent="0.4">
      <c r="A20" s="44">
        <v>15</v>
      </c>
      <c r="B20" s="50">
        <v>7</v>
      </c>
      <c r="C20" s="49">
        <f t="shared" si="0"/>
        <v>15</v>
      </c>
      <c r="D20" s="40"/>
      <c r="E20" s="16"/>
      <c r="F20" s="22" t="s">
        <v>1346</v>
      </c>
      <c r="G20" s="22" t="s">
        <v>1347</v>
      </c>
      <c r="H20" s="22"/>
      <c r="I20" s="24" t="s">
        <v>1327</v>
      </c>
      <c r="J20" s="22" t="s">
        <v>1341</v>
      </c>
      <c r="K20" s="24"/>
      <c r="L20" s="23"/>
      <c r="M20" s="37">
        <v>42597</v>
      </c>
      <c r="N20" s="235">
        <v>42597</v>
      </c>
      <c r="O20" s="24">
        <v>4</v>
      </c>
      <c r="P20" s="24">
        <v>14</v>
      </c>
      <c r="Q20" s="236">
        <v>0.37903225806451613</v>
      </c>
      <c r="R20" s="236">
        <v>0.62096774193548387</v>
      </c>
      <c r="S20" s="237">
        <v>0</v>
      </c>
      <c r="T20" s="237">
        <v>8</v>
      </c>
      <c r="U20" s="237">
        <v>6</v>
      </c>
      <c r="V20" s="237">
        <v>14</v>
      </c>
      <c r="W20" s="238">
        <v>0</v>
      </c>
      <c r="X20" s="238">
        <v>8.69</v>
      </c>
      <c r="Y20" s="239">
        <v>5.3100000000000005</v>
      </c>
      <c r="Z20" s="239">
        <v>14</v>
      </c>
      <c r="AA20" s="237"/>
      <c r="AB20" s="240">
        <v>0</v>
      </c>
      <c r="AC20" s="225">
        <v>0</v>
      </c>
      <c r="AD20" s="225">
        <v>0</v>
      </c>
      <c r="AE20" s="237">
        <v>0</v>
      </c>
      <c r="AF20" s="352">
        <v>0</v>
      </c>
    </row>
    <row r="21" spans="1:32" ht="22.25" customHeight="1" x14ac:dyDescent="0.4">
      <c r="A21" s="44">
        <v>15</v>
      </c>
      <c r="B21" s="50">
        <v>8</v>
      </c>
      <c r="C21" s="49">
        <f t="shared" si="0"/>
        <v>15</v>
      </c>
      <c r="D21" s="40"/>
      <c r="E21" s="16"/>
      <c r="F21" s="34" t="s">
        <v>1348</v>
      </c>
      <c r="G21" s="34" t="s">
        <v>1349</v>
      </c>
      <c r="H21" s="34"/>
      <c r="I21" s="339" t="s">
        <v>1327</v>
      </c>
      <c r="J21" s="34" t="s">
        <v>1341</v>
      </c>
      <c r="K21" s="339"/>
      <c r="L21" s="35"/>
      <c r="M21" s="37">
        <v>43073</v>
      </c>
      <c r="N21" s="231">
        <v>43073</v>
      </c>
      <c r="O21" s="33">
        <v>3</v>
      </c>
      <c r="P21" s="28">
        <v>14</v>
      </c>
      <c r="Q21" s="249">
        <v>7.5268817204301008E-2</v>
      </c>
      <c r="R21" s="249">
        <v>0.92473118279569899</v>
      </c>
      <c r="S21" s="232">
        <v>0</v>
      </c>
      <c r="T21" s="232">
        <v>9</v>
      </c>
      <c r="U21" s="232">
        <v>2</v>
      </c>
      <c r="V21" s="232">
        <v>11</v>
      </c>
      <c r="W21" s="233">
        <v>0</v>
      </c>
      <c r="X21" s="233">
        <v>9.25</v>
      </c>
      <c r="Y21" s="234">
        <v>1.0500000000000007</v>
      </c>
      <c r="Z21" s="234">
        <v>10.3</v>
      </c>
      <c r="AA21" s="253"/>
      <c r="AB21" s="260">
        <v>0</v>
      </c>
      <c r="AC21" s="261">
        <v>0</v>
      </c>
      <c r="AD21" s="261">
        <v>0</v>
      </c>
      <c r="AE21" s="346">
        <v>0</v>
      </c>
      <c r="AF21" s="346">
        <v>0</v>
      </c>
    </row>
    <row r="22" spans="1:32" ht="22.25" customHeight="1" x14ac:dyDescent="0.4">
      <c r="A22" s="44">
        <v>15</v>
      </c>
      <c r="B22" s="50">
        <v>9</v>
      </c>
      <c r="C22" s="49">
        <f t="shared" si="0"/>
        <v>15</v>
      </c>
      <c r="D22" s="40"/>
      <c r="E22" s="16"/>
      <c r="F22" s="22" t="s">
        <v>1350</v>
      </c>
      <c r="G22" s="22" t="s">
        <v>1351</v>
      </c>
      <c r="H22" s="22"/>
      <c r="I22" s="24" t="s">
        <v>1327</v>
      </c>
      <c r="J22" s="22" t="s">
        <v>1341</v>
      </c>
      <c r="K22" s="24"/>
      <c r="L22" s="23"/>
      <c r="M22" s="37">
        <v>38888</v>
      </c>
      <c r="N22" s="235">
        <v>38888</v>
      </c>
      <c r="O22" s="24">
        <v>14</v>
      </c>
      <c r="P22" s="24">
        <v>20</v>
      </c>
      <c r="Q22" s="236">
        <v>0.53055555555555567</v>
      </c>
      <c r="R22" s="236">
        <v>0.46944444444444433</v>
      </c>
      <c r="S22" s="237">
        <v>0</v>
      </c>
      <c r="T22" s="237">
        <v>8</v>
      </c>
      <c r="U22" s="237">
        <v>11</v>
      </c>
      <c r="V22" s="237">
        <v>19</v>
      </c>
      <c r="W22" s="238">
        <v>0</v>
      </c>
      <c r="X22" s="238">
        <v>8.92</v>
      </c>
      <c r="Y22" s="239">
        <v>10.61</v>
      </c>
      <c r="Z22" s="239">
        <v>19.53</v>
      </c>
      <c r="AA22" s="237"/>
      <c r="AB22" s="240">
        <v>0</v>
      </c>
      <c r="AC22" s="225">
        <v>0</v>
      </c>
      <c r="AD22" s="225">
        <v>0</v>
      </c>
      <c r="AE22" s="237">
        <v>0</v>
      </c>
      <c r="AF22" s="352">
        <v>0</v>
      </c>
    </row>
    <row r="23" spans="1:32" ht="22.25" customHeight="1" x14ac:dyDescent="0.4">
      <c r="A23" s="43">
        <v>16</v>
      </c>
      <c r="B23" s="50">
        <v>10</v>
      </c>
      <c r="C23" s="49">
        <f t="shared" si="0"/>
        <v>16</v>
      </c>
      <c r="D23" s="39"/>
      <c r="E23" s="15"/>
      <c r="F23" s="34" t="s">
        <v>1352</v>
      </c>
      <c r="G23" s="34" t="s">
        <v>1353</v>
      </c>
      <c r="H23" s="34"/>
      <c r="I23" s="339" t="s">
        <v>1327</v>
      </c>
      <c r="J23" s="34" t="s">
        <v>1354</v>
      </c>
      <c r="K23" s="339"/>
      <c r="L23" s="35"/>
      <c r="M23" s="37">
        <v>40115</v>
      </c>
      <c r="N23" s="231">
        <v>40115</v>
      </c>
      <c r="O23" s="33">
        <v>11</v>
      </c>
      <c r="P23" s="28">
        <v>17</v>
      </c>
      <c r="Q23" s="249">
        <v>0.17473118279569899</v>
      </c>
      <c r="R23" s="249">
        <v>0.82526881720430101</v>
      </c>
      <c r="S23" s="232">
        <v>0</v>
      </c>
      <c r="T23" s="232">
        <v>13</v>
      </c>
      <c r="U23" s="232">
        <v>3</v>
      </c>
      <c r="V23" s="232">
        <v>16</v>
      </c>
      <c r="W23" s="233">
        <v>0</v>
      </c>
      <c r="X23" s="233">
        <v>13.2</v>
      </c>
      <c r="Y23" s="234">
        <v>2.9700000000000006</v>
      </c>
      <c r="Z23" s="234">
        <v>16.170000000000002</v>
      </c>
      <c r="AA23" s="253"/>
      <c r="AB23" s="260">
        <v>0</v>
      </c>
      <c r="AC23" s="261">
        <v>0</v>
      </c>
      <c r="AD23" s="261">
        <v>0</v>
      </c>
      <c r="AE23" s="346">
        <v>0</v>
      </c>
      <c r="AF23" s="346">
        <v>0</v>
      </c>
    </row>
    <row r="24" spans="1:32" ht="22.25" customHeight="1" x14ac:dyDescent="0.4">
      <c r="A24" s="44">
        <v>17</v>
      </c>
      <c r="B24" s="50">
        <v>11</v>
      </c>
      <c r="C24" s="49">
        <f t="shared" si="0"/>
        <v>17</v>
      </c>
      <c r="D24" s="40"/>
      <c r="E24" s="16"/>
      <c r="F24" s="22" t="s">
        <v>1355</v>
      </c>
      <c r="G24" s="22" t="s">
        <v>1356</v>
      </c>
      <c r="H24" s="22"/>
      <c r="I24" s="24" t="s">
        <v>1327</v>
      </c>
      <c r="J24" s="22" t="s">
        <v>1354</v>
      </c>
      <c r="K24" s="24"/>
      <c r="L24" s="23"/>
      <c r="M24" s="37">
        <v>43724</v>
      </c>
      <c r="N24" s="235">
        <v>43724</v>
      </c>
      <c r="O24" s="24">
        <v>1</v>
      </c>
      <c r="P24" s="24">
        <v>7</v>
      </c>
      <c r="Q24" s="236">
        <v>0.29166666666666663</v>
      </c>
      <c r="R24" s="236">
        <v>0.70833333333333337</v>
      </c>
      <c r="S24" s="237">
        <v>3</v>
      </c>
      <c r="T24" s="237">
        <v>0</v>
      </c>
      <c r="U24" s="237">
        <v>3</v>
      </c>
      <c r="V24" s="237">
        <v>6</v>
      </c>
      <c r="W24" s="238">
        <v>3</v>
      </c>
      <c r="X24" s="238">
        <v>0</v>
      </c>
      <c r="Y24" s="239">
        <v>2.04</v>
      </c>
      <c r="Z24" s="239">
        <v>5.04</v>
      </c>
      <c r="AA24" s="237"/>
      <c r="AB24" s="240">
        <v>3</v>
      </c>
      <c r="AC24" s="225">
        <v>0</v>
      </c>
      <c r="AD24" s="225">
        <v>0</v>
      </c>
      <c r="AE24" s="237">
        <v>0</v>
      </c>
      <c r="AF24" s="352">
        <v>0</v>
      </c>
    </row>
    <row r="25" spans="1:32" ht="22.25" customHeight="1" x14ac:dyDescent="0.4">
      <c r="A25" s="44">
        <v>18</v>
      </c>
      <c r="B25" s="50">
        <v>12</v>
      </c>
      <c r="C25" s="49">
        <f t="shared" si="0"/>
        <v>18</v>
      </c>
      <c r="D25" s="40"/>
      <c r="E25" s="16"/>
      <c r="F25" s="34" t="s">
        <v>1357</v>
      </c>
      <c r="G25" s="34" t="s">
        <v>1358</v>
      </c>
      <c r="H25" s="34"/>
      <c r="I25" s="339" t="s">
        <v>1327</v>
      </c>
      <c r="J25" s="34" t="s">
        <v>1354</v>
      </c>
      <c r="K25" s="339"/>
      <c r="L25" s="35"/>
      <c r="M25" s="37">
        <v>43160</v>
      </c>
      <c r="N25" s="231">
        <v>43160</v>
      </c>
      <c r="O25" s="33">
        <v>2</v>
      </c>
      <c r="P25" s="28">
        <v>10</v>
      </c>
      <c r="Q25" s="249">
        <v>0.83333333333333337</v>
      </c>
      <c r="R25" s="249">
        <v>0.16666666666666663</v>
      </c>
      <c r="S25" s="232">
        <v>0</v>
      </c>
      <c r="T25" s="232">
        <v>1</v>
      </c>
      <c r="U25" s="232">
        <v>9</v>
      </c>
      <c r="V25" s="232">
        <v>10</v>
      </c>
      <c r="W25" s="233">
        <v>0</v>
      </c>
      <c r="X25" s="233">
        <v>1.17</v>
      </c>
      <c r="Y25" s="234">
        <v>8.33</v>
      </c>
      <c r="Z25" s="234">
        <v>9.5</v>
      </c>
      <c r="AA25" s="253"/>
      <c r="AB25" s="260">
        <v>0</v>
      </c>
      <c r="AC25" s="261">
        <v>0</v>
      </c>
      <c r="AD25" s="261">
        <v>0</v>
      </c>
      <c r="AE25" s="346">
        <v>0</v>
      </c>
      <c r="AF25" s="346">
        <v>0</v>
      </c>
    </row>
    <row r="26" spans="1:32" ht="22.25" customHeight="1" x14ac:dyDescent="0.4">
      <c r="A26" s="44">
        <v>19</v>
      </c>
      <c r="B26" s="50">
        <v>13</v>
      </c>
      <c r="C26" s="49">
        <f t="shared" si="0"/>
        <v>19</v>
      </c>
      <c r="D26" s="40"/>
      <c r="E26" s="16"/>
      <c r="F26" s="22" t="s">
        <v>1359</v>
      </c>
      <c r="G26" s="22" t="s">
        <v>1360</v>
      </c>
      <c r="H26" s="22"/>
      <c r="I26" s="24" t="s">
        <v>1327</v>
      </c>
      <c r="J26" s="22" t="s">
        <v>1354</v>
      </c>
      <c r="K26" s="24"/>
      <c r="L26" s="23"/>
      <c r="M26" s="37">
        <v>43234</v>
      </c>
      <c r="N26" s="235">
        <v>43234</v>
      </c>
      <c r="O26" s="24">
        <v>2</v>
      </c>
      <c r="P26" s="24">
        <v>10</v>
      </c>
      <c r="Q26" s="236">
        <v>0.63172043010752699</v>
      </c>
      <c r="R26" s="236">
        <v>0.36827956989247301</v>
      </c>
      <c r="S26" s="237">
        <v>0</v>
      </c>
      <c r="T26" s="237">
        <v>2</v>
      </c>
      <c r="U26" s="237">
        <v>7</v>
      </c>
      <c r="V26" s="237">
        <v>9</v>
      </c>
      <c r="W26" s="238">
        <v>0</v>
      </c>
      <c r="X26" s="238">
        <v>2.58</v>
      </c>
      <c r="Y26" s="239">
        <v>6.32</v>
      </c>
      <c r="Z26" s="239">
        <v>8.9</v>
      </c>
      <c r="AA26" s="237"/>
      <c r="AB26" s="240">
        <v>0</v>
      </c>
      <c r="AC26" s="225">
        <v>0</v>
      </c>
      <c r="AD26" s="225">
        <v>0</v>
      </c>
      <c r="AE26" s="237">
        <v>0</v>
      </c>
      <c r="AF26" s="352">
        <v>0</v>
      </c>
    </row>
    <row r="27" spans="1:32" ht="22.25" customHeight="1" x14ac:dyDescent="0.4">
      <c r="A27" s="44">
        <v>20</v>
      </c>
      <c r="B27" s="50">
        <v>14</v>
      </c>
      <c r="C27" s="49">
        <f t="shared" si="0"/>
        <v>20</v>
      </c>
      <c r="D27" s="40"/>
      <c r="E27" s="16"/>
      <c r="F27" s="34" t="s">
        <v>1361</v>
      </c>
      <c r="G27" s="34" t="s">
        <v>1362</v>
      </c>
      <c r="H27" s="34"/>
      <c r="I27" s="339" t="s">
        <v>1327</v>
      </c>
      <c r="J27" s="34" t="s">
        <v>1354</v>
      </c>
      <c r="K27" s="339"/>
      <c r="L27" s="35"/>
      <c r="M27" s="37">
        <v>43296</v>
      </c>
      <c r="N27" s="231">
        <v>43296</v>
      </c>
      <c r="O27" s="33">
        <v>2</v>
      </c>
      <c r="P27" s="28">
        <v>10</v>
      </c>
      <c r="Q27" s="249">
        <v>0.4623655913978495</v>
      </c>
      <c r="R27" s="249">
        <v>0.5376344086021505</v>
      </c>
      <c r="S27" s="232">
        <v>0</v>
      </c>
      <c r="T27" s="232">
        <v>3</v>
      </c>
      <c r="U27" s="232">
        <v>5</v>
      </c>
      <c r="V27" s="232">
        <v>8</v>
      </c>
      <c r="W27" s="233">
        <v>0</v>
      </c>
      <c r="X27" s="233">
        <v>3.76</v>
      </c>
      <c r="Y27" s="234">
        <v>4.62</v>
      </c>
      <c r="Z27" s="234">
        <v>8.379999999999999</v>
      </c>
      <c r="AA27" s="253"/>
      <c r="AB27" s="260">
        <v>0</v>
      </c>
      <c r="AC27" s="261">
        <v>0</v>
      </c>
      <c r="AD27" s="261">
        <v>0</v>
      </c>
      <c r="AE27" s="346">
        <v>0</v>
      </c>
      <c r="AF27" s="346">
        <v>0</v>
      </c>
    </row>
    <row r="28" spans="1:32" ht="22.25" customHeight="1" x14ac:dyDescent="0.4">
      <c r="A28" s="44">
        <v>21</v>
      </c>
      <c r="B28" s="50">
        <v>15</v>
      </c>
      <c r="C28" s="49">
        <f t="shared" si="0"/>
        <v>21</v>
      </c>
      <c r="D28" s="40"/>
      <c r="E28" s="16"/>
      <c r="F28" s="22" t="s">
        <v>1363</v>
      </c>
      <c r="G28" s="22" t="s">
        <v>1364</v>
      </c>
      <c r="H28" s="22"/>
      <c r="I28" s="24" t="s">
        <v>1327</v>
      </c>
      <c r="J28" s="22" t="s">
        <v>1354</v>
      </c>
      <c r="K28" s="24"/>
      <c r="L28" s="23"/>
      <c r="M28" s="37">
        <v>43529</v>
      </c>
      <c r="N28" s="235">
        <v>43529</v>
      </c>
      <c r="O28" s="24">
        <v>1</v>
      </c>
      <c r="P28" s="24">
        <v>7</v>
      </c>
      <c r="Q28" s="236">
        <v>0.82258064516129037</v>
      </c>
      <c r="R28" s="236">
        <v>0.17741935483870963</v>
      </c>
      <c r="S28" s="237">
        <v>1.06</v>
      </c>
      <c r="T28" s="237">
        <v>0</v>
      </c>
      <c r="U28" s="237">
        <v>6</v>
      </c>
      <c r="V28" s="237">
        <v>7.0600000000000005</v>
      </c>
      <c r="W28" s="238">
        <v>1.06</v>
      </c>
      <c r="X28" s="238">
        <v>0</v>
      </c>
      <c r="Y28" s="239">
        <v>5.76</v>
      </c>
      <c r="Z28" s="239">
        <v>6.82</v>
      </c>
      <c r="AA28" s="237"/>
      <c r="AB28" s="240">
        <v>1.06</v>
      </c>
      <c r="AC28" s="225">
        <v>1.94</v>
      </c>
      <c r="AD28" s="225">
        <v>1.06</v>
      </c>
      <c r="AE28" s="237">
        <v>0</v>
      </c>
      <c r="AF28" s="352">
        <v>0</v>
      </c>
    </row>
    <row r="29" spans="1:32" ht="22.25" customHeight="1" x14ac:dyDescent="0.4">
      <c r="A29" s="44">
        <v>22</v>
      </c>
      <c r="B29" s="50">
        <v>16</v>
      </c>
      <c r="C29" s="49">
        <f t="shared" si="0"/>
        <v>22</v>
      </c>
      <c r="D29" s="40"/>
      <c r="E29" s="16"/>
      <c r="F29" s="34" t="s">
        <v>1365</v>
      </c>
      <c r="G29" s="34" t="s">
        <v>1366</v>
      </c>
      <c r="H29" s="34"/>
      <c r="I29" s="339" t="s">
        <v>1327</v>
      </c>
      <c r="J29" s="34" t="s">
        <v>1354</v>
      </c>
      <c r="K29" s="339"/>
      <c r="L29" s="35"/>
      <c r="M29" s="37">
        <v>43570</v>
      </c>
      <c r="N29" s="231">
        <v>43570</v>
      </c>
      <c r="O29" s="33">
        <v>1</v>
      </c>
      <c r="P29" s="28">
        <v>7</v>
      </c>
      <c r="Q29" s="249">
        <v>0.71111111111111103</v>
      </c>
      <c r="R29" s="249">
        <v>0.28888888888888897</v>
      </c>
      <c r="S29" s="232">
        <v>1.73</v>
      </c>
      <c r="T29" s="232">
        <v>0</v>
      </c>
      <c r="U29" s="232">
        <v>5</v>
      </c>
      <c r="V29" s="232">
        <v>6.73</v>
      </c>
      <c r="W29" s="233">
        <v>1.73</v>
      </c>
      <c r="X29" s="233">
        <v>0</v>
      </c>
      <c r="Y29" s="234">
        <v>4.9800000000000004</v>
      </c>
      <c r="Z29" s="234">
        <v>6.7100000000000009</v>
      </c>
      <c r="AA29" s="253"/>
      <c r="AB29" s="260">
        <v>1.73</v>
      </c>
      <c r="AC29" s="261">
        <v>1.27</v>
      </c>
      <c r="AD29" s="261">
        <v>1.73</v>
      </c>
      <c r="AE29" s="346">
        <v>0</v>
      </c>
      <c r="AF29" s="346">
        <v>0</v>
      </c>
    </row>
    <row r="30" spans="1:32" ht="22.25" customHeight="1" x14ac:dyDescent="0.4">
      <c r="A30" s="44">
        <v>23</v>
      </c>
      <c r="B30" s="50">
        <v>17</v>
      </c>
      <c r="C30" s="49">
        <f t="shared" si="0"/>
        <v>23</v>
      </c>
      <c r="D30" s="40"/>
      <c r="E30" s="16"/>
      <c r="F30" s="22" t="s">
        <v>1367</v>
      </c>
      <c r="G30" s="22" t="s">
        <v>1368</v>
      </c>
      <c r="H30" s="22"/>
      <c r="I30" s="24" t="s">
        <v>1327</v>
      </c>
      <c r="J30" s="22" t="s">
        <v>1354</v>
      </c>
      <c r="K30" s="24"/>
      <c r="L30" s="23"/>
      <c r="M30" s="37">
        <v>43836</v>
      </c>
      <c r="N30" s="235">
        <v>43836</v>
      </c>
      <c r="O30" s="24">
        <v>0</v>
      </c>
      <c r="P30" s="24">
        <v>0</v>
      </c>
      <c r="Q30" s="236">
        <v>0.98655913978494625</v>
      </c>
      <c r="R30" s="236">
        <v>1.3440860215053752E-2</v>
      </c>
      <c r="S30" s="237">
        <v>2.92</v>
      </c>
      <c r="T30" s="237">
        <v>0</v>
      </c>
      <c r="U30" s="237">
        <v>0</v>
      </c>
      <c r="V30" s="237">
        <v>2.92</v>
      </c>
      <c r="W30" s="238">
        <v>2.92</v>
      </c>
      <c r="X30" s="238">
        <v>0</v>
      </c>
      <c r="Y30" s="239">
        <v>0</v>
      </c>
      <c r="Z30" s="239">
        <v>2.92</v>
      </c>
      <c r="AA30" s="237"/>
      <c r="AB30" s="240">
        <v>2.92</v>
      </c>
      <c r="AC30" s="225">
        <v>0</v>
      </c>
      <c r="AD30" s="225">
        <v>0</v>
      </c>
      <c r="AE30" s="237">
        <v>2.92</v>
      </c>
      <c r="AF30" s="352">
        <v>8.0000000000000071E-2</v>
      </c>
    </row>
    <row r="31" spans="1:32" ht="22.25" customHeight="1" x14ac:dyDescent="0.4">
      <c r="A31" s="44">
        <v>24</v>
      </c>
      <c r="B31" s="50">
        <v>18</v>
      </c>
      <c r="C31" s="49">
        <f t="shared" si="0"/>
        <v>24</v>
      </c>
      <c r="D31" s="40"/>
      <c r="E31" s="16"/>
      <c r="F31" s="34" t="s">
        <v>1369</v>
      </c>
      <c r="G31" s="34" t="s">
        <v>1370</v>
      </c>
      <c r="H31" s="34"/>
      <c r="I31" s="339" t="s">
        <v>1327</v>
      </c>
      <c r="J31" s="34" t="s">
        <v>1354</v>
      </c>
      <c r="K31" s="339"/>
      <c r="L31" s="35"/>
      <c r="M31" s="37">
        <v>43938</v>
      </c>
      <c r="N31" s="231">
        <v>43938</v>
      </c>
      <c r="O31" s="33">
        <v>0</v>
      </c>
      <c r="P31" s="28">
        <v>0</v>
      </c>
      <c r="Q31" s="249">
        <v>0.70555555555555549</v>
      </c>
      <c r="R31" s="249">
        <v>0.29444444444444451</v>
      </c>
      <c r="S31" s="232">
        <v>1.23</v>
      </c>
      <c r="T31" s="232">
        <v>0</v>
      </c>
      <c r="U31" s="232">
        <v>0</v>
      </c>
      <c r="V31" s="232">
        <v>1.23</v>
      </c>
      <c r="W31" s="233">
        <v>1.23</v>
      </c>
      <c r="X31" s="233">
        <v>0</v>
      </c>
      <c r="Y31" s="234">
        <v>0</v>
      </c>
      <c r="Z31" s="234">
        <v>1.23</v>
      </c>
      <c r="AA31" s="253"/>
      <c r="AB31" s="260">
        <v>1.23</v>
      </c>
      <c r="AC31" s="261">
        <v>0</v>
      </c>
      <c r="AD31" s="261">
        <v>0</v>
      </c>
      <c r="AE31" s="346">
        <v>1.23</v>
      </c>
      <c r="AF31" s="346">
        <v>1.77</v>
      </c>
    </row>
    <row r="32" spans="1:32" ht="22.25" customHeight="1" x14ac:dyDescent="0.4">
      <c r="A32" s="44">
        <v>25</v>
      </c>
      <c r="B32" s="50">
        <v>19</v>
      </c>
      <c r="C32" s="49">
        <f t="shared" si="0"/>
        <v>25</v>
      </c>
      <c r="D32" s="40"/>
      <c r="E32" s="16"/>
      <c r="F32" s="22" t="s">
        <v>1371</v>
      </c>
      <c r="G32" s="22" t="s">
        <v>1372</v>
      </c>
      <c r="H32" s="22"/>
      <c r="I32" s="24" t="s">
        <v>1327</v>
      </c>
      <c r="J32" s="22" t="s">
        <v>1354</v>
      </c>
      <c r="K32" s="24"/>
      <c r="L32" s="23"/>
      <c r="M32" s="37">
        <v>44000</v>
      </c>
      <c r="N32" s="235">
        <v>44000</v>
      </c>
      <c r="O32" s="24">
        <v>0</v>
      </c>
      <c r="P32" s="24">
        <v>0</v>
      </c>
      <c r="Q32" s="236">
        <v>0.5361111111111112</v>
      </c>
      <c r="R32" s="236">
        <v>0.4638888888888888</v>
      </c>
      <c r="S32" s="237">
        <v>0.2200000000000002</v>
      </c>
      <c r="T32" s="237">
        <v>0</v>
      </c>
      <c r="U32" s="237">
        <v>0</v>
      </c>
      <c r="V32" s="237">
        <v>0.2200000000000002</v>
      </c>
      <c r="W32" s="238">
        <v>0.2200000000000002</v>
      </c>
      <c r="X32" s="238">
        <v>0</v>
      </c>
      <c r="Y32" s="239">
        <v>0</v>
      </c>
      <c r="Z32" s="239">
        <v>0.2200000000000002</v>
      </c>
      <c r="AA32" s="237"/>
      <c r="AB32" s="240">
        <v>0.2200000000000002</v>
      </c>
      <c r="AC32" s="225">
        <v>0</v>
      </c>
      <c r="AD32" s="225">
        <v>0</v>
      </c>
      <c r="AE32" s="237">
        <v>0.2200000000000002</v>
      </c>
      <c r="AF32" s="352">
        <v>2.78</v>
      </c>
    </row>
    <row r="33" spans="1:32" ht="22.25" customHeight="1" x14ac:dyDescent="0.4">
      <c r="A33" s="44">
        <v>26</v>
      </c>
      <c r="B33" s="50">
        <v>20</v>
      </c>
      <c r="C33" s="49">
        <f t="shared" si="0"/>
        <v>26</v>
      </c>
      <c r="D33" s="40"/>
      <c r="E33" s="16"/>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row>
    <row r="34" spans="1:32" ht="22.25" customHeight="1" x14ac:dyDescent="0.4">
      <c r="A34" s="44">
        <v>27</v>
      </c>
      <c r="B34" s="50">
        <v>21</v>
      </c>
      <c r="C34" s="49">
        <f t="shared" si="0"/>
        <v>27</v>
      </c>
      <c r="D34" s="40"/>
      <c r="E34" s="16"/>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row>
    <row r="35" spans="1:32" ht="22.25" customHeight="1" x14ac:dyDescent="0.4">
      <c r="A35" s="44">
        <v>28</v>
      </c>
      <c r="B35" s="50">
        <v>22</v>
      </c>
      <c r="C35" s="49">
        <f t="shared" si="0"/>
        <v>28</v>
      </c>
      <c r="D35" s="40"/>
      <c r="E35" s="16"/>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row>
    <row r="36" spans="1:32" ht="22.25" customHeight="1" x14ac:dyDescent="0.4">
      <c r="A36" s="44">
        <v>29</v>
      </c>
      <c r="B36" s="50">
        <v>23</v>
      </c>
      <c r="C36" s="49">
        <f t="shared" si="0"/>
        <v>29</v>
      </c>
      <c r="D36" s="40"/>
      <c r="E36" s="16"/>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row>
    <row r="37" spans="1:32" ht="22.25" customHeight="1" x14ac:dyDescent="0.4">
      <c r="A37" s="44">
        <v>30</v>
      </c>
      <c r="B37" s="50">
        <v>24</v>
      </c>
      <c r="C37" s="49">
        <f t="shared" si="0"/>
        <v>30</v>
      </c>
      <c r="D37" s="40"/>
      <c r="E37" s="16"/>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row>
    <row r="38" spans="1:32" ht="22.25" customHeight="1" x14ac:dyDescent="0.4">
      <c r="A38" s="43">
        <v>30</v>
      </c>
      <c r="B38" s="50">
        <v>25</v>
      </c>
      <c r="C38" s="49">
        <f t="shared" si="0"/>
        <v>30</v>
      </c>
      <c r="D38" s="39"/>
      <c r="E38" s="15"/>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row>
    <row r="39" spans="1:32" ht="22.25" customHeight="1" x14ac:dyDescent="0.4">
      <c r="A39" s="43">
        <v>30</v>
      </c>
      <c r="B39" s="50">
        <v>26</v>
      </c>
      <c r="C39" s="49">
        <f t="shared" si="0"/>
        <v>30</v>
      </c>
      <c r="D39" s="39"/>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row>
    <row r="40" spans="1:32" ht="22.25" customHeight="1" x14ac:dyDescent="0.4">
      <c r="A40" s="43">
        <v>30</v>
      </c>
      <c r="B40" s="50">
        <v>27</v>
      </c>
      <c r="C40" s="49">
        <f t="shared" si="0"/>
        <v>30</v>
      </c>
      <c r="D40" s="39"/>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row>
    <row r="41" spans="1:32" ht="22.25" customHeight="1" x14ac:dyDescent="0.4">
      <c r="A41" s="43">
        <v>30</v>
      </c>
      <c r="B41" s="50">
        <v>28</v>
      </c>
      <c r="C41" s="49">
        <f t="shared" si="0"/>
        <v>30</v>
      </c>
      <c r="D41" s="39"/>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row>
    <row r="42" spans="1:32" ht="22.25" customHeight="1" x14ac:dyDescent="0.4">
      <c r="A42" s="43">
        <v>30</v>
      </c>
      <c r="B42" s="50">
        <v>29</v>
      </c>
      <c r="C42" s="49">
        <f t="shared" si="0"/>
        <v>30</v>
      </c>
      <c r="D42" s="39"/>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row>
    <row r="43" spans="1:32" ht="22.25" customHeight="1" x14ac:dyDescent="0.4">
      <c r="A43" s="43">
        <v>30</v>
      </c>
      <c r="B43" s="50">
        <v>30</v>
      </c>
      <c r="C43" s="49">
        <f t="shared" si="0"/>
        <v>30</v>
      </c>
      <c r="D43" s="39"/>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row>
    <row r="44" spans="1:32" ht="22.25" customHeight="1" x14ac:dyDescent="0.4">
      <c r="A44" s="43">
        <v>30</v>
      </c>
      <c r="B44" s="50">
        <v>31</v>
      </c>
      <c r="C44" s="49">
        <f t="shared" si="0"/>
        <v>30</v>
      </c>
      <c r="D44" s="39"/>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1:32" ht="22.25" customHeight="1" x14ac:dyDescent="0.4">
      <c r="A45" s="43">
        <v>30</v>
      </c>
      <c r="B45" s="50">
        <v>32</v>
      </c>
      <c r="C45" s="49">
        <f t="shared" si="0"/>
        <v>30</v>
      </c>
      <c r="D45" s="39"/>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2" ht="22.25" customHeight="1" x14ac:dyDescent="0.4">
      <c r="A46" s="43">
        <v>30</v>
      </c>
      <c r="B46" s="50">
        <v>33</v>
      </c>
      <c r="C46" s="49">
        <f t="shared" si="0"/>
        <v>30</v>
      </c>
      <c r="D46" s="39"/>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2" ht="22.25" customHeight="1" x14ac:dyDescent="0.4">
      <c r="A47" s="43">
        <v>30</v>
      </c>
      <c r="B47" s="50">
        <v>34</v>
      </c>
      <c r="C47" s="49">
        <f t="shared" si="0"/>
        <v>30</v>
      </c>
      <c r="D47" s="39"/>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1:32" ht="22.25" customHeight="1" x14ac:dyDescent="0.4">
      <c r="A48" s="43">
        <v>30</v>
      </c>
      <c r="B48" s="50">
        <v>35</v>
      </c>
      <c r="C48" s="49">
        <f t="shared" si="0"/>
        <v>30</v>
      </c>
      <c r="D48" s="39"/>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row>
    <row r="49" spans="1:32" ht="22.25" customHeight="1" x14ac:dyDescent="0.4">
      <c r="A49" s="43">
        <v>30</v>
      </c>
      <c r="B49" s="50">
        <v>36</v>
      </c>
      <c r="C49" s="49">
        <f t="shared" si="0"/>
        <v>30</v>
      </c>
      <c r="D49" s="39"/>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row>
    <row r="50" spans="1:32" ht="22.25" customHeight="1" x14ac:dyDescent="0.4">
      <c r="A50" s="43">
        <v>30</v>
      </c>
      <c r="B50" s="50">
        <v>37</v>
      </c>
      <c r="C50" s="49">
        <f t="shared" si="0"/>
        <v>30</v>
      </c>
      <c r="D50" s="39"/>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1:32" ht="22.25" customHeight="1" x14ac:dyDescent="0.4">
      <c r="A51" s="43">
        <v>30</v>
      </c>
      <c r="B51" s="50">
        <v>38</v>
      </c>
      <c r="C51" s="49">
        <f t="shared" si="0"/>
        <v>30</v>
      </c>
      <c r="D51" s="39"/>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row>
    <row r="52" spans="1:32" ht="22.25" customHeight="1" x14ac:dyDescent="0.4">
      <c r="A52" s="43">
        <v>30</v>
      </c>
      <c r="B52" s="50">
        <v>39</v>
      </c>
      <c r="C52" s="49">
        <f t="shared" si="0"/>
        <v>30</v>
      </c>
      <c r="D52" s="39"/>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row>
    <row r="53" spans="1:32" ht="22.25" customHeight="1" x14ac:dyDescent="0.4">
      <c r="A53" s="43">
        <v>30</v>
      </c>
      <c r="B53" s="50">
        <v>40</v>
      </c>
      <c r="C53" s="49">
        <f t="shared" si="0"/>
        <v>30</v>
      </c>
      <c r="D53" s="39"/>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row>
    <row r="54" spans="1:32" ht="22.25" customHeight="1" x14ac:dyDescent="0.4">
      <c r="A54" s="43">
        <v>30</v>
      </c>
      <c r="B54" s="50">
        <v>41</v>
      </c>
      <c r="C54" s="49">
        <f t="shared" si="0"/>
        <v>30</v>
      </c>
      <c r="D54" s="39"/>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5" spans="1:32" ht="22.25" customHeight="1" x14ac:dyDescent="0.4">
      <c r="A55" s="43">
        <v>30</v>
      </c>
      <c r="B55" s="50">
        <v>42</v>
      </c>
      <c r="C55" s="49">
        <f t="shared" si="0"/>
        <v>30</v>
      </c>
      <c r="D55" s="39"/>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ht="22.25" customHeight="1" x14ac:dyDescent="0.4">
      <c r="A56" s="43">
        <v>30</v>
      </c>
      <c r="B56" s="50">
        <v>43</v>
      </c>
      <c r="C56" s="49">
        <f t="shared" si="0"/>
        <v>30</v>
      </c>
      <c r="D56" s="39"/>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row>
    <row r="57" spans="1:32" ht="22.25" customHeight="1" x14ac:dyDescent="0.4">
      <c r="A57" s="43">
        <v>30</v>
      </c>
      <c r="B57" s="50">
        <v>44</v>
      </c>
      <c r="C57" s="49">
        <f t="shared" si="0"/>
        <v>30</v>
      </c>
      <c r="D57" s="39"/>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row>
    <row r="58" spans="1:32" ht="22.25" customHeight="1" x14ac:dyDescent="0.4">
      <c r="A58" s="43">
        <v>30</v>
      </c>
      <c r="B58" s="50">
        <v>45</v>
      </c>
      <c r="C58" s="49">
        <f t="shared" si="0"/>
        <v>30</v>
      </c>
      <c r="D58" s="39"/>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row>
    <row r="59" spans="1:32" ht="22.25" customHeight="1" x14ac:dyDescent="0.4">
      <c r="A59" s="43">
        <v>30</v>
      </c>
      <c r="B59" s="50">
        <v>46</v>
      </c>
      <c r="C59" s="49">
        <f t="shared" si="0"/>
        <v>30</v>
      </c>
      <c r="D59" s="39"/>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row>
    <row r="60" spans="1:32" ht="22.25" customHeight="1" x14ac:dyDescent="0.4">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row>
    <row r="61" spans="1:32" ht="22.25" customHeight="1" x14ac:dyDescent="0.4">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row>
    <row r="62" spans="1:32" ht="22.25" customHeight="1" x14ac:dyDescent="0.4">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row>
    <row r="63" spans="1:32" ht="22.25" customHeight="1" x14ac:dyDescent="0.4">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row>
    <row r="64" spans="1:32" ht="22.25" customHeight="1" x14ac:dyDescent="0.4">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row>
    <row r="65" spans="6:32" ht="22.25" customHeight="1" x14ac:dyDescent="0.4">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row>
    <row r="66" spans="6:32" ht="22.25" customHeight="1" x14ac:dyDescent="0.4">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row>
    <row r="67" spans="6:32" ht="22.25" customHeight="1" x14ac:dyDescent="0.4">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row>
    <row r="68" spans="6:32" ht="22.25" customHeight="1" x14ac:dyDescent="0.4">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row>
    <row r="69" spans="6:32" ht="22.25" customHeight="1" x14ac:dyDescent="0.4">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row>
    <row r="70" spans="6:32" ht="22.25" customHeight="1" x14ac:dyDescent="0.4">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row>
    <row r="71" spans="6:32" ht="22.25" customHeight="1" x14ac:dyDescent="0.4">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row>
    <row r="72" spans="6:32" ht="22.25" customHeight="1" x14ac:dyDescent="0.4">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6:32" ht="22.25" customHeight="1" x14ac:dyDescent="0.4">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row>
    <row r="74" spans="6:32" ht="22.25" customHeight="1" x14ac:dyDescent="0.4">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row>
    <row r="75" spans="6:32" ht="22.25" customHeight="1" x14ac:dyDescent="0.4">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row>
    <row r="76" spans="6:32" ht="22.25" customHeight="1" x14ac:dyDescent="0.4">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row>
    <row r="77" spans="6:32" ht="22.25" customHeight="1" x14ac:dyDescent="0.4">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row>
    <row r="78" spans="6:32" ht="22.25" customHeight="1" x14ac:dyDescent="0.4">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row>
    <row r="79" spans="6:32" ht="22.25" customHeight="1" x14ac:dyDescent="0.4">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row>
    <row r="80" spans="6:32" ht="22.25" customHeight="1" x14ac:dyDescent="0.4">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row>
    <row r="81" spans="6:32" ht="22.25" customHeight="1" x14ac:dyDescent="0.4">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row>
    <row r="82" spans="6:32" ht="22.25" customHeight="1" x14ac:dyDescent="0.4">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row>
    <row r="83" spans="6:32" ht="22.25" customHeight="1" x14ac:dyDescent="0.4">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row>
    <row r="84" spans="6:32" ht="22.25" customHeight="1" x14ac:dyDescent="0.4">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row>
    <row r="85" spans="6:32" ht="22.25" customHeight="1" x14ac:dyDescent="0.4">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row>
    <row r="86" spans="6:32" ht="22.25" customHeight="1" x14ac:dyDescent="0.4">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row>
    <row r="87" spans="6:32" ht="22.25" customHeight="1" x14ac:dyDescent="0.4">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row>
    <row r="88" spans="6:32" ht="22.25" customHeight="1" x14ac:dyDescent="0.4">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row>
    <row r="89" spans="6:32" ht="22.25" customHeight="1" x14ac:dyDescent="0.4">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row>
    <row r="90" spans="6:32" ht="22.25" customHeight="1" x14ac:dyDescent="0.4">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row>
    <row r="91" spans="6:32" ht="22.25" customHeight="1" x14ac:dyDescent="0.4">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row>
    <row r="92" spans="6:32" ht="22.25" customHeight="1" x14ac:dyDescent="0.4">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row>
    <row r="93" spans="6:32" ht="22.25" customHeight="1" x14ac:dyDescent="0.4">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row>
    <row r="94" spans="6:32" ht="22.25" customHeight="1" x14ac:dyDescent="0.4">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6:32" ht="22.25" customHeight="1" x14ac:dyDescent="0.4">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6:32" ht="22.25" customHeight="1" x14ac:dyDescent="0.4">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6:32" ht="22.25" customHeight="1" x14ac:dyDescent="0.4">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row>
    <row r="98" spans="6:32" ht="22.25" customHeight="1" x14ac:dyDescent="0.4">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row>
    <row r="99" spans="6:32" ht="22.25" customHeight="1" x14ac:dyDescent="0.4">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row>
    <row r="100" spans="6:32" ht="22.25" customHeight="1" x14ac:dyDescent="0.4">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row>
    <row r="101" spans="6:32" ht="22.25" customHeight="1" x14ac:dyDescent="0.4">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row>
    <row r="102" spans="6:32" ht="22.25" customHeight="1" x14ac:dyDescent="0.4">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row>
    <row r="103" spans="6:32" ht="22.25" customHeight="1" x14ac:dyDescent="0.4">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row>
    <row r="104" spans="6:32" ht="22.25" customHeight="1" x14ac:dyDescent="0.4">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row>
    <row r="105" spans="6:32" ht="22.25" customHeight="1" x14ac:dyDescent="0.4">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6" spans="6:32" ht="22.25" customHeight="1" x14ac:dyDescent="0.4">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row>
    <row r="107" spans="6:32" ht="22.25" customHeight="1" x14ac:dyDescent="0.4">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row>
    <row r="108" spans="6:32" ht="22.25" customHeight="1" x14ac:dyDescent="0.4">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row>
    <row r="109" spans="6:32" ht="22.25" customHeight="1" x14ac:dyDescent="0.4">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row>
    <row r="110" spans="6:32" ht="22.25" customHeight="1" x14ac:dyDescent="0.4">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row>
    <row r="111" spans="6:32" ht="22.25" customHeight="1" x14ac:dyDescent="0.4">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row>
    <row r="112" spans="6:32" ht="22.25" customHeight="1" x14ac:dyDescent="0.4">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row>
    <row r="113" spans="6:32" ht="22.25" customHeight="1" x14ac:dyDescent="0.4">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row>
    <row r="114" spans="6:32" ht="22.25" customHeight="1" x14ac:dyDescent="0.4">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row>
    <row r="115" spans="6:32" ht="22.25" customHeight="1" x14ac:dyDescent="0.4">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row>
    <row r="116" spans="6:32" ht="22.25" customHeight="1" x14ac:dyDescent="0.4">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row>
    <row r="117" spans="6:32" ht="22.25" customHeight="1" x14ac:dyDescent="0.4">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row>
    <row r="118" spans="6:32" ht="22.25" customHeight="1" x14ac:dyDescent="0.4">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row>
    <row r="119" spans="6:32" ht="22.25" customHeight="1" x14ac:dyDescent="0.4">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row>
    <row r="120" spans="6:32" ht="22.25" customHeight="1" x14ac:dyDescent="0.4">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row>
    <row r="121" spans="6:32" ht="22.25" customHeight="1" x14ac:dyDescent="0.4">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row>
    <row r="122" spans="6:32" ht="22.25" customHeight="1" x14ac:dyDescent="0.4">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row>
    <row r="123" spans="6:32" ht="22.25" customHeight="1" x14ac:dyDescent="0.4">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row>
    <row r="124" spans="6:32" ht="22.25" customHeight="1" x14ac:dyDescent="0.4">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row>
    <row r="125" spans="6:32" ht="22.25" customHeight="1" x14ac:dyDescent="0.4">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row>
    <row r="126" spans="6:32" ht="22.25" customHeight="1" x14ac:dyDescent="0.4">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row>
    <row r="127" spans="6:32" ht="22.25" customHeight="1" x14ac:dyDescent="0.4">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row>
    <row r="128" spans="6:32" ht="22.25" customHeight="1" x14ac:dyDescent="0.4">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row>
    <row r="129" spans="6:32" ht="22.25" customHeight="1" x14ac:dyDescent="0.4">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row>
    <row r="130" spans="6:32" ht="22.25" customHeight="1" x14ac:dyDescent="0.4">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row>
    <row r="131" spans="6:32" ht="22.25" customHeight="1" x14ac:dyDescent="0.4">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row>
    <row r="132" spans="6:32" ht="22.25" customHeight="1" x14ac:dyDescent="0.4">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row>
    <row r="133" spans="6:32" ht="22.25" customHeight="1" x14ac:dyDescent="0.4">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row>
    <row r="134" spans="6:32" ht="22.25" customHeight="1" x14ac:dyDescent="0.4">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row>
    <row r="135" spans="6:32" ht="22.25" customHeight="1" x14ac:dyDescent="0.4">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row>
    <row r="136" spans="6:32" ht="22.25" customHeight="1" x14ac:dyDescent="0.4">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row>
    <row r="137" spans="6:32" ht="22.25" customHeight="1" x14ac:dyDescent="0.4">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row>
    <row r="138" spans="6:32" ht="22.25" customHeight="1" x14ac:dyDescent="0.4">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row>
    <row r="139" spans="6:32" ht="22.25" customHeight="1" x14ac:dyDescent="0.4">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row>
    <row r="140" spans="6:32" ht="22.25" customHeight="1" x14ac:dyDescent="0.4">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row>
    <row r="141" spans="6:32" ht="22.25" customHeight="1" x14ac:dyDescent="0.4">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row>
    <row r="142" spans="6:32" ht="22.25" customHeight="1" x14ac:dyDescent="0.4">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row>
    <row r="143" spans="6:32" ht="22.25" customHeight="1" x14ac:dyDescent="0.4">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row>
    <row r="144" spans="6:32" ht="22.25" customHeight="1" x14ac:dyDescent="0.4">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row>
    <row r="145" spans="6:32" ht="22.25" customHeight="1" x14ac:dyDescent="0.4">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row>
    <row r="146" spans="6:32" ht="22.25" customHeight="1" x14ac:dyDescent="0.4">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row>
    <row r="147" spans="6:32" ht="22.25" customHeight="1" x14ac:dyDescent="0.4">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row>
    <row r="148" spans="6:32" ht="22.25" customHeight="1" x14ac:dyDescent="0.4">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row>
    <row r="149" spans="6:32" ht="22.25" customHeight="1" x14ac:dyDescent="0.4">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row>
    <row r="150" spans="6:32" ht="22.25" customHeight="1" x14ac:dyDescent="0.4">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row>
    <row r="151" spans="6:32" ht="22.25" customHeight="1" x14ac:dyDescent="0.4">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row>
    <row r="152" spans="6:32" ht="22.25" customHeight="1" x14ac:dyDescent="0.4">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row>
    <row r="153" spans="6:32" ht="22.25" customHeight="1" x14ac:dyDescent="0.4">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row>
    <row r="154" spans="6:32" ht="22.25" customHeight="1" x14ac:dyDescent="0.4">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row>
    <row r="155" spans="6:32" ht="22.25" customHeight="1" x14ac:dyDescent="0.4">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row>
    <row r="156" spans="6:32" ht="22.25" customHeight="1" x14ac:dyDescent="0.4">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row>
    <row r="157" spans="6:32" ht="22.25" customHeight="1" x14ac:dyDescent="0.4">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row>
    <row r="158" spans="6:32" ht="22.25" customHeight="1" x14ac:dyDescent="0.4">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row>
    <row r="159" spans="6:32" ht="22.25" customHeight="1" x14ac:dyDescent="0.4">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row>
    <row r="160" spans="6:32" ht="22.25" customHeight="1" x14ac:dyDescent="0.4">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row>
    <row r="161" spans="6:32" ht="22.25" customHeight="1" x14ac:dyDescent="0.4">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row>
    <row r="162" spans="6:32" ht="22.25" customHeight="1" x14ac:dyDescent="0.4">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row>
    <row r="163" spans="6:32" ht="22.25" customHeight="1" x14ac:dyDescent="0.4">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row>
    <row r="164" spans="6:32" ht="22.25" customHeight="1" x14ac:dyDescent="0.4">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row>
    <row r="165" spans="6:32" ht="22.25" customHeight="1" x14ac:dyDescent="0.4">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row>
    <row r="166" spans="6:32" ht="22.25" customHeight="1" x14ac:dyDescent="0.4">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row>
    <row r="167" spans="6:32" ht="22.25" customHeight="1" x14ac:dyDescent="0.4">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row>
    <row r="168" spans="6:32" ht="22.25" customHeight="1" x14ac:dyDescent="0.4">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row>
    <row r="169" spans="6:32" ht="22.25" customHeight="1" x14ac:dyDescent="0.4">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row>
    <row r="170" spans="6:32" ht="22.25" customHeight="1" x14ac:dyDescent="0.4">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row>
    <row r="171" spans="6:32" ht="22.25" customHeight="1" x14ac:dyDescent="0.4">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row>
    <row r="172" spans="6:32" ht="22.25" customHeight="1" x14ac:dyDescent="0.4">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row>
    <row r="173" spans="6:32" ht="22.25" customHeight="1" x14ac:dyDescent="0.4">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row>
    <row r="174" spans="6:32" ht="22.25" customHeight="1" x14ac:dyDescent="0.4">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row>
    <row r="175" spans="6:32" ht="22.25" customHeight="1" x14ac:dyDescent="0.4">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row>
    <row r="176" spans="6:32" ht="22.25" customHeight="1" x14ac:dyDescent="0.4">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row>
    <row r="177" spans="6:32" ht="22.25" customHeight="1" x14ac:dyDescent="0.4">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row>
    <row r="178" spans="6:32" ht="22.25" customHeight="1" x14ac:dyDescent="0.4">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row>
    <row r="179" spans="6:32" ht="22.25" customHeight="1" x14ac:dyDescent="0.4">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row>
    <row r="180" spans="6:32" ht="22.25" customHeight="1" x14ac:dyDescent="0.4">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row>
    <row r="181" spans="6:32" ht="22.25" customHeight="1" x14ac:dyDescent="0.4">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row>
    <row r="182" spans="6:32" ht="22.25" customHeight="1" x14ac:dyDescent="0.4">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row>
    <row r="183" spans="6:32" ht="22.25" customHeight="1" x14ac:dyDescent="0.4">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row>
    <row r="184" spans="6:32" ht="22.25" customHeight="1" x14ac:dyDescent="0.4">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row>
    <row r="185" spans="6:32" ht="22.25" customHeight="1" x14ac:dyDescent="0.4">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row>
    <row r="186" spans="6:32" ht="22.25" customHeight="1" x14ac:dyDescent="0.4">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row>
    <row r="187" spans="6:32" ht="22.25" customHeight="1" x14ac:dyDescent="0.4">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row>
    <row r="188" spans="6:32" ht="22.25" customHeight="1" x14ac:dyDescent="0.4">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row>
    <row r="189" spans="6:32" ht="22.25" customHeight="1" x14ac:dyDescent="0.4">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row>
    <row r="190" spans="6:32" ht="22.25" customHeight="1" x14ac:dyDescent="0.4">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row>
    <row r="191" spans="6:32" ht="22.25" customHeight="1" x14ac:dyDescent="0.4">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row>
    <row r="192" spans="6:32" ht="22.25" customHeight="1" x14ac:dyDescent="0.4">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row>
    <row r="193" spans="6:32" ht="22.25" customHeight="1" x14ac:dyDescent="0.4">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row>
    <row r="194" spans="6:32" ht="22.25" customHeight="1" x14ac:dyDescent="0.4">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row>
    <row r="195" spans="6:32" ht="22.25" customHeight="1" x14ac:dyDescent="0.4">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row>
    <row r="196" spans="6:32" ht="22.25" customHeight="1" x14ac:dyDescent="0.4">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row>
    <row r="197" spans="6:32" ht="22.25" customHeight="1" x14ac:dyDescent="0.4">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row>
    <row r="198" spans="6:32" ht="22.25" customHeight="1" x14ac:dyDescent="0.4">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row>
    <row r="199" spans="6:32" ht="22.25" customHeight="1" x14ac:dyDescent="0.4">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row>
    <row r="200" spans="6:32" ht="22.25" customHeight="1" x14ac:dyDescent="0.4">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row>
    <row r="201" spans="6:32" ht="22.25" customHeight="1" x14ac:dyDescent="0.4">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row>
    <row r="202" spans="6:32" ht="22.25" customHeight="1" x14ac:dyDescent="0.4">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row>
    <row r="203" spans="6:32" ht="22.25" customHeight="1" x14ac:dyDescent="0.4">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row>
    <row r="204" spans="6:32" ht="22.25" customHeight="1" x14ac:dyDescent="0.4">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row>
    <row r="205" spans="6:32" ht="22.25" customHeight="1" x14ac:dyDescent="0.4">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row>
    <row r="206" spans="6:32" ht="22.25" customHeight="1" x14ac:dyDescent="0.4">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row>
    <row r="207" spans="6:32" ht="22.25" customHeight="1" x14ac:dyDescent="0.4">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row>
    <row r="208" spans="6:32" ht="22.25" customHeight="1" x14ac:dyDescent="0.4">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row>
    <row r="209" spans="6:32" ht="22.25" customHeight="1" x14ac:dyDescent="0.4">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row>
    <row r="210" spans="6:32" ht="22.25" customHeight="1" x14ac:dyDescent="0.4">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row>
    <row r="211" spans="6:32" ht="22.25" customHeight="1" x14ac:dyDescent="0.4">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row>
    <row r="212" spans="6:32" ht="22.25" customHeight="1" x14ac:dyDescent="0.4">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row>
    <row r="213" spans="6:32" ht="22.25" customHeight="1" x14ac:dyDescent="0.4">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row>
    <row r="214" spans="6:32" ht="22.25" customHeight="1" x14ac:dyDescent="0.4">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row>
    <row r="215" spans="6:32" ht="22.25" customHeight="1" x14ac:dyDescent="0.4">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row>
    <row r="216" spans="6:32" ht="22.25" customHeight="1" x14ac:dyDescent="0.4">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row>
    <row r="217" spans="6:32" ht="22.25" customHeight="1" x14ac:dyDescent="0.4">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row>
    <row r="218" spans="6:32" ht="22.25" customHeight="1" x14ac:dyDescent="0.4">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row>
    <row r="219" spans="6:32" ht="22.25" customHeight="1" x14ac:dyDescent="0.4">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row>
    <row r="220" spans="6:32" ht="22.25" customHeight="1" x14ac:dyDescent="0.4">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row>
    <row r="221" spans="6:32" ht="22.25" customHeight="1" x14ac:dyDescent="0.4">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row>
    <row r="222" spans="6:32" ht="22.25" customHeight="1" x14ac:dyDescent="0.4">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row>
    <row r="223" spans="6:32" ht="22.25" customHeight="1" x14ac:dyDescent="0.4">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row>
    <row r="224" spans="6:32" ht="22.25" customHeight="1" x14ac:dyDescent="0.4">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row>
    <row r="225" spans="6:32" ht="22.25" customHeight="1" x14ac:dyDescent="0.4">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row>
    <row r="226" spans="6:32" ht="22.25" customHeight="1" x14ac:dyDescent="0.4">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row>
    <row r="227" spans="6:32" ht="22.25" customHeight="1" x14ac:dyDescent="0.4">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row>
    <row r="228" spans="6:32" ht="22.25" customHeight="1" x14ac:dyDescent="0.4">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row>
    <row r="229" spans="6:32" ht="22.25" customHeight="1" x14ac:dyDescent="0.4">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row>
    <row r="230" spans="6:32" ht="22.25" customHeight="1" x14ac:dyDescent="0.4">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row>
    <row r="231" spans="6:32" ht="22.25" customHeight="1" x14ac:dyDescent="0.4">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row>
    <row r="232" spans="6:32" ht="22.25" customHeight="1" x14ac:dyDescent="0.4">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row>
    <row r="233" spans="6:32" ht="22.25" customHeight="1" x14ac:dyDescent="0.4">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row>
    <row r="234" spans="6:32" ht="22.25" customHeight="1" x14ac:dyDescent="0.4">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row>
    <row r="235" spans="6:32" ht="22.25" customHeight="1" x14ac:dyDescent="0.4">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row>
    <row r="236" spans="6:32" ht="22.25" customHeight="1" x14ac:dyDescent="0.4">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row>
    <row r="237" spans="6:32" ht="22.25" customHeight="1" x14ac:dyDescent="0.4">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row>
    <row r="238" spans="6:32" ht="22.25" customHeight="1" x14ac:dyDescent="0.4">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row>
    <row r="239" spans="6:32" ht="22.25" customHeight="1" x14ac:dyDescent="0.4">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row>
    <row r="240" spans="6:32" ht="22.25" customHeight="1" x14ac:dyDescent="0.4">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row>
    <row r="241" spans="6:32" ht="22.25" customHeight="1" x14ac:dyDescent="0.4">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row>
    <row r="242" spans="6:32" ht="22.25" customHeight="1" x14ac:dyDescent="0.4">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row>
    <row r="243" spans="6:32" ht="22.25" customHeight="1" x14ac:dyDescent="0.4">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row>
    <row r="244" spans="6:32" ht="22.25" customHeight="1" x14ac:dyDescent="0.4">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row>
    <row r="245" spans="6:32" ht="22.25" customHeight="1" x14ac:dyDescent="0.4">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row>
    <row r="246" spans="6:32" ht="22.25" customHeight="1" x14ac:dyDescent="0.4">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row>
    <row r="247" spans="6:32" ht="22.25" customHeight="1" x14ac:dyDescent="0.4">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row>
    <row r="248" spans="6:32" ht="22.25" customHeight="1" x14ac:dyDescent="0.4">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row>
    <row r="249" spans="6:32" ht="22.25" customHeight="1" x14ac:dyDescent="0.4">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row>
    <row r="250" spans="6:32" ht="22.25" customHeight="1" x14ac:dyDescent="0.4">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row>
    <row r="251" spans="6:32" ht="22.25" customHeight="1" x14ac:dyDescent="0.4">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row>
    <row r="252" spans="6:32" ht="22.25" customHeight="1" x14ac:dyDescent="0.4">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row>
    <row r="253" spans="6:32" ht="22.25" customHeight="1" x14ac:dyDescent="0.4">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row>
    <row r="254" spans="6:32" ht="22.25" customHeight="1" x14ac:dyDescent="0.4">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row>
    <row r="255" spans="6:32" ht="22.25" customHeight="1" x14ac:dyDescent="0.4">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row>
    <row r="256" spans="6:32" ht="22.25" customHeight="1" x14ac:dyDescent="0.4">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row>
    <row r="257" spans="6:32" ht="22.25" customHeight="1" x14ac:dyDescent="0.4">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row>
    <row r="258" spans="6:32" ht="22.25" customHeight="1" x14ac:dyDescent="0.4">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row>
    <row r="259" spans="6:32" ht="22.25" customHeight="1" x14ac:dyDescent="0.4">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row>
    <row r="260" spans="6:32" ht="22.25" customHeight="1" x14ac:dyDescent="0.4">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row>
    <row r="261" spans="6:32" ht="22.25" customHeight="1" x14ac:dyDescent="0.4">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row>
    <row r="262" spans="6:32" ht="22.25" customHeight="1" x14ac:dyDescent="0.4">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row>
    <row r="263" spans="6:32" ht="22.25" customHeight="1" x14ac:dyDescent="0.4">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row>
    <row r="264" spans="6:32" ht="22.25" customHeight="1" x14ac:dyDescent="0.4">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row>
    <row r="265" spans="6:32" ht="22.25" customHeight="1" x14ac:dyDescent="0.4">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row>
    <row r="266" spans="6:32" ht="22.25" customHeight="1" x14ac:dyDescent="0.4">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row>
    <row r="267" spans="6:32" ht="22.25" customHeight="1" x14ac:dyDescent="0.4">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row>
    <row r="268" spans="6:32" ht="22.25" customHeight="1" x14ac:dyDescent="0.4">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row>
    <row r="269" spans="6:32" ht="22.25" customHeight="1" x14ac:dyDescent="0.4">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row>
    <row r="270" spans="6:32" ht="22.25" customHeight="1" x14ac:dyDescent="0.4">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row>
    <row r="271" spans="6:32" ht="22.25" customHeight="1" x14ac:dyDescent="0.4">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row>
    <row r="272" spans="6:32" ht="22.25" customHeight="1" x14ac:dyDescent="0.4">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row>
    <row r="273" spans="6:32" ht="22.25" customHeight="1" x14ac:dyDescent="0.4">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row>
    <row r="274" spans="6:32" ht="22.25" customHeight="1" x14ac:dyDescent="0.4">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row>
    <row r="275" spans="6:32" ht="22.25" customHeight="1" x14ac:dyDescent="0.4">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row>
    <row r="276" spans="6:32" ht="22.25" customHeight="1" x14ac:dyDescent="0.4">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row>
    <row r="277" spans="6:32" ht="22.25" customHeight="1" x14ac:dyDescent="0.4">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row>
    <row r="278" spans="6:32" ht="22.25" customHeight="1" x14ac:dyDescent="0.4">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row>
    <row r="279" spans="6:32" ht="22.25" customHeight="1" x14ac:dyDescent="0.4">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row>
    <row r="280" spans="6:32" ht="22.25" customHeight="1" x14ac:dyDescent="0.4">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row>
    <row r="281" spans="6:32" ht="22.25" customHeight="1" x14ac:dyDescent="0.4">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row>
    <row r="282" spans="6:32" ht="22.25" customHeight="1" x14ac:dyDescent="0.4">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row>
    <row r="283" spans="6:32" ht="22.25" customHeight="1" x14ac:dyDescent="0.4">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row>
    <row r="284" spans="6:32" ht="22.25" customHeight="1" x14ac:dyDescent="0.4">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row>
    <row r="285" spans="6:32" ht="22.25" customHeight="1" x14ac:dyDescent="0.4">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row>
    <row r="286" spans="6:32" ht="22.25" customHeight="1" x14ac:dyDescent="0.4">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row>
    <row r="287" spans="6:32" ht="22.25" customHeight="1" x14ac:dyDescent="0.4">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row>
    <row r="288" spans="6:32" ht="22.25" customHeight="1" x14ac:dyDescent="0.4">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row>
    <row r="289" spans="6:32" ht="22.25" customHeight="1" x14ac:dyDescent="0.4">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row>
    <row r="290" spans="6:32" ht="22.25" customHeight="1" x14ac:dyDescent="0.4">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row>
    <row r="291" spans="6:32" ht="22.25" customHeight="1" x14ac:dyDescent="0.4">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row>
    <row r="292" spans="6:32" ht="22.25" customHeight="1" x14ac:dyDescent="0.4">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row>
    <row r="293" spans="6:32" ht="22.25" customHeight="1" x14ac:dyDescent="0.4">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row>
    <row r="294" spans="6:32" ht="22.25" customHeight="1" x14ac:dyDescent="0.4">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row>
    <row r="295" spans="6:32" ht="22.25" customHeight="1" x14ac:dyDescent="0.4">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row>
    <row r="296" spans="6:32" ht="22.25" customHeight="1" x14ac:dyDescent="0.4">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row>
    <row r="297" spans="6:32" ht="22.25" customHeight="1" x14ac:dyDescent="0.4">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row>
    <row r="298" spans="6:32" ht="22.25" customHeight="1" x14ac:dyDescent="0.4">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row>
    <row r="299" spans="6:32" ht="22.25" customHeight="1" x14ac:dyDescent="0.4">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row>
    <row r="300" spans="6:32" ht="22.25" customHeight="1" x14ac:dyDescent="0.4">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row>
    <row r="301" spans="6:32" ht="22.25" customHeight="1" x14ac:dyDescent="0.4">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row>
    <row r="302" spans="6:32" ht="22.25" customHeight="1" x14ac:dyDescent="0.4">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row>
    <row r="303" spans="6:32" ht="22.25" customHeight="1" x14ac:dyDescent="0.4">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row>
    <row r="304" spans="6:32" ht="22.25" customHeight="1" x14ac:dyDescent="0.4">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row>
    <row r="305" spans="6:32" ht="22.25" customHeight="1" x14ac:dyDescent="0.4">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row>
    <row r="306" spans="6:32" ht="22.25" customHeight="1" x14ac:dyDescent="0.4">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row>
    <row r="307" spans="6:32" ht="22.25" customHeight="1" x14ac:dyDescent="0.4">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row>
    <row r="308" spans="6:32" ht="22.25" customHeight="1" x14ac:dyDescent="0.4">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row>
    <row r="309" spans="6:32" ht="22.25" customHeight="1" x14ac:dyDescent="0.4">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row>
    <row r="310" spans="6:32" ht="22.25" customHeight="1" x14ac:dyDescent="0.4">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row>
    <row r="311" spans="6:32" ht="22.25" customHeight="1" x14ac:dyDescent="0.4">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row>
    <row r="312" spans="6:32" ht="22.25" customHeight="1" x14ac:dyDescent="0.4">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row>
    <row r="313" spans="6:32" ht="22.25" customHeight="1" x14ac:dyDescent="0.4">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row>
    <row r="314" spans="6:32" ht="22.25" customHeight="1" x14ac:dyDescent="0.4">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row>
    <row r="315" spans="6:32" ht="22.25" customHeight="1" x14ac:dyDescent="0.4">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row>
    <row r="316" spans="6:32" ht="22.25" customHeight="1" x14ac:dyDescent="0.4">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row>
    <row r="317" spans="6:32" ht="22.25" customHeight="1" x14ac:dyDescent="0.4">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row>
    <row r="318" spans="6:32" ht="22.25" customHeight="1" x14ac:dyDescent="0.4">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row>
    <row r="319" spans="6:32" ht="22.25" customHeight="1" x14ac:dyDescent="0.4">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row>
    <row r="320" spans="6:32" ht="22.25" customHeight="1" x14ac:dyDescent="0.4">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row>
    <row r="321" spans="6:32" ht="22.25" customHeight="1" x14ac:dyDescent="0.4">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row>
    <row r="322" spans="6:32" ht="22.25" customHeight="1" x14ac:dyDescent="0.4">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row>
    <row r="323" spans="6:32" ht="22.25" customHeight="1" x14ac:dyDescent="0.4">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row>
    <row r="324" spans="6:32" ht="22.25" customHeight="1" x14ac:dyDescent="0.4">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row>
    <row r="325" spans="6:32" ht="22.25" customHeight="1" x14ac:dyDescent="0.4">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row>
    <row r="326" spans="6:32" ht="22.25" customHeight="1" x14ac:dyDescent="0.4">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row>
    <row r="327" spans="6:32" ht="22.25" customHeight="1" x14ac:dyDescent="0.4">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row>
    <row r="328" spans="6:32" ht="22.25" customHeight="1" x14ac:dyDescent="0.4">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row>
    <row r="329" spans="6:32" ht="22.25" customHeight="1" x14ac:dyDescent="0.4">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row>
    <row r="330" spans="6:32" ht="22.25" customHeight="1" x14ac:dyDescent="0.4">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row>
    <row r="331" spans="6:32" ht="22.25" customHeight="1" x14ac:dyDescent="0.4">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row>
    <row r="332" spans="6:32" ht="22.25" customHeight="1" x14ac:dyDescent="0.4">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row>
    <row r="333" spans="6:32" ht="22.25" customHeight="1" x14ac:dyDescent="0.4">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row>
    <row r="334" spans="6:32" ht="22.25" customHeight="1" x14ac:dyDescent="0.4">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row>
    <row r="335" spans="6:32" ht="22.25" customHeight="1" x14ac:dyDescent="0.4">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row>
    <row r="336" spans="6:32" ht="22.25" customHeight="1" x14ac:dyDescent="0.4">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row>
    <row r="337" spans="6:32" ht="22.25" customHeight="1" x14ac:dyDescent="0.4">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row>
    <row r="338" spans="6:32" ht="22.25" customHeight="1" x14ac:dyDescent="0.4">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row>
    <row r="339" spans="6:32" ht="22.25" customHeight="1" x14ac:dyDescent="0.4">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row>
    <row r="340" spans="6:32" ht="22.25" customHeight="1" x14ac:dyDescent="0.4">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row>
    <row r="341" spans="6:32" ht="22.25" customHeight="1" x14ac:dyDescent="0.4">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row>
    <row r="342" spans="6:32" ht="22.25" customHeight="1" x14ac:dyDescent="0.4">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row>
    <row r="343" spans="6:32" ht="22.25" customHeight="1" x14ac:dyDescent="0.4">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row>
    <row r="344" spans="6:32" ht="22.25" customHeight="1" x14ac:dyDescent="0.4">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row>
    <row r="345" spans="6:32" ht="22.25" customHeight="1" x14ac:dyDescent="0.4">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row>
    <row r="346" spans="6:32" ht="22.25" customHeight="1" x14ac:dyDescent="0.4">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row>
    <row r="347" spans="6:32" ht="22.25" customHeight="1" x14ac:dyDescent="0.4">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row>
    <row r="348" spans="6:32" ht="22.25" customHeight="1" x14ac:dyDescent="0.4">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row>
    <row r="349" spans="6:32" ht="22.25" customHeight="1" x14ac:dyDescent="0.4">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row>
    <row r="350" spans="6:32" ht="22.25" customHeight="1" x14ac:dyDescent="0.4">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row>
    <row r="351" spans="6:32" ht="22.25" customHeight="1" x14ac:dyDescent="0.4">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row>
    <row r="352" spans="6:32" ht="22.25" customHeight="1" x14ac:dyDescent="0.4">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row>
    <row r="353" spans="6:32" ht="22.25" customHeight="1" x14ac:dyDescent="0.4">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row>
    <row r="354" spans="6:32" ht="22.25" customHeight="1" x14ac:dyDescent="0.4">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row>
    <row r="355" spans="6:32" ht="22.25" customHeight="1" x14ac:dyDescent="0.4">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row>
    <row r="356" spans="6:32" ht="22.25" customHeight="1" x14ac:dyDescent="0.4">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row>
    <row r="357" spans="6:32" ht="22.25" customHeight="1" x14ac:dyDescent="0.4">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row>
    <row r="358" spans="6:32" ht="22.25" customHeight="1" x14ac:dyDescent="0.4">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row>
    <row r="359" spans="6:32" ht="22.25" customHeight="1" x14ac:dyDescent="0.4">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row>
    <row r="360" spans="6:32" ht="22.25" customHeight="1" x14ac:dyDescent="0.4">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row>
    <row r="361" spans="6:32" ht="22.25" customHeight="1" x14ac:dyDescent="0.4">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row>
    <row r="362" spans="6:32" ht="22.25" customHeight="1" x14ac:dyDescent="0.4">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row>
    <row r="363" spans="6:32" ht="22.25" customHeight="1" x14ac:dyDescent="0.4">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row>
    <row r="364" spans="6:32" ht="22.25" customHeight="1" x14ac:dyDescent="0.4">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row>
    <row r="365" spans="6:32" ht="22.25" customHeight="1" x14ac:dyDescent="0.4">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row>
    <row r="366" spans="6:32" ht="22.25" customHeight="1" x14ac:dyDescent="0.4">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row>
    <row r="367" spans="6:32" ht="22.25" customHeight="1" x14ac:dyDescent="0.4">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row>
    <row r="368" spans="6:32" ht="22.25" customHeight="1" x14ac:dyDescent="0.4">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row>
    <row r="369" spans="6:32" ht="22.25" customHeight="1" x14ac:dyDescent="0.4">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row>
    <row r="370" spans="6:32" ht="22.25" customHeight="1" x14ac:dyDescent="0.4">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row>
    <row r="371" spans="6:32" ht="22.25" customHeight="1" x14ac:dyDescent="0.4">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row>
    <row r="372" spans="6:32" ht="22.25" customHeight="1" x14ac:dyDescent="0.4">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row>
    <row r="373" spans="6:32" ht="22.25" customHeight="1" x14ac:dyDescent="0.4">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row>
    <row r="374" spans="6:32" ht="22.25" customHeight="1" x14ac:dyDescent="0.4">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row>
    <row r="375" spans="6:32" ht="22.25" customHeight="1" x14ac:dyDescent="0.4">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row>
    <row r="376" spans="6:32" ht="22.25" customHeight="1" x14ac:dyDescent="0.4">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row>
    <row r="377" spans="6:32" ht="22.25" customHeight="1" x14ac:dyDescent="0.4">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row>
    <row r="378" spans="6:32" ht="22.25" customHeight="1" x14ac:dyDescent="0.4">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row>
    <row r="379" spans="6:32" ht="22.25" customHeight="1" x14ac:dyDescent="0.4">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row>
    <row r="380" spans="6:32" ht="22.25" customHeight="1" x14ac:dyDescent="0.4">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row>
    <row r="381" spans="6:32" ht="22.25" customHeight="1" x14ac:dyDescent="0.4">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row>
    <row r="382" spans="6:32" ht="22.25" customHeight="1" x14ac:dyDescent="0.4">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row>
    <row r="383" spans="6:32" ht="22.25" customHeight="1" x14ac:dyDescent="0.4">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row>
    <row r="384" spans="6:32" ht="22.25" customHeight="1" x14ac:dyDescent="0.4">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row>
    <row r="385" spans="6:32" ht="22.25" customHeight="1" x14ac:dyDescent="0.4">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row>
    <row r="386" spans="6:32" ht="22.25" customHeight="1" x14ac:dyDescent="0.4">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row>
    <row r="387" spans="6:32" ht="22.25" customHeight="1" x14ac:dyDescent="0.4">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row>
    <row r="388" spans="6:32" ht="22.25" customHeight="1" x14ac:dyDescent="0.4">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row>
    <row r="389" spans="6:32" ht="22.25" customHeight="1" x14ac:dyDescent="0.4">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row>
    <row r="390" spans="6:32" ht="22.25" customHeight="1" x14ac:dyDescent="0.4">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row>
    <row r="391" spans="6:32" ht="22.25" customHeight="1" x14ac:dyDescent="0.4">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row>
    <row r="392" spans="6:32" ht="22.25" customHeight="1" x14ac:dyDescent="0.4">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row>
    <row r="393" spans="6:32" ht="22.25" customHeight="1" x14ac:dyDescent="0.4">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row>
    <row r="394" spans="6:32" ht="22.25" customHeight="1" x14ac:dyDescent="0.4">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row>
    <row r="395" spans="6:32" ht="22.25" customHeight="1" x14ac:dyDescent="0.4">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row>
    <row r="396" spans="6:32" ht="22.25" customHeight="1" x14ac:dyDescent="0.4">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row>
    <row r="397" spans="6:32" ht="22.25" customHeight="1" x14ac:dyDescent="0.4">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row>
    <row r="398" spans="6:32" ht="22.25" customHeight="1" x14ac:dyDescent="0.4">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row>
    <row r="399" spans="6:32" ht="22.25" customHeight="1" x14ac:dyDescent="0.4">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row>
    <row r="400" spans="6:32" ht="22.25" customHeight="1" x14ac:dyDescent="0.4">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row>
    <row r="401" spans="6:32" ht="22.25" customHeight="1" x14ac:dyDescent="0.4">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row>
    <row r="402" spans="6:32" ht="22.25" customHeight="1" x14ac:dyDescent="0.4">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row>
    <row r="403" spans="6:32" ht="22.25" customHeight="1" x14ac:dyDescent="0.4">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row>
    <row r="404" spans="6:32" ht="22.25" customHeight="1" x14ac:dyDescent="0.4">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row>
    <row r="405" spans="6:32" ht="22.25" customHeight="1" x14ac:dyDescent="0.4">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row>
    <row r="406" spans="6:32" ht="22.25" customHeight="1" x14ac:dyDescent="0.4">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row>
    <row r="407" spans="6:32" ht="22.25" customHeight="1" x14ac:dyDescent="0.4">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row>
    <row r="408" spans="6:32" ht="22.25" customHeight="1" x14ac:dyDescent="0.4">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row>
    <row r="409" spans="6:32" ht="22.25" customHeight="1" x14ac:dyDescent="0.4">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row>
    <row r="410" spans="6:32" ht="22.25" customHeight="1" x14ac:dyDescent="0.4">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row>
    <row r="411" spans="6:32" ht="22.25" customHeight="1" x14ac:dyDescent="0.4">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row>
    <row r="412" spans="6:32" ht="22.25" customHeight="1" x14ac:dyDescent="0.4">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row>
    <row r="413" spans="6:32" ht="22.25" customHeight="1" x14ac:dyDescent="0.4">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row>
    <row r="414" spans="6:32" ht="22.25" customHeight="1" x14ac:dyDescent="0.4">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row>
    <row r="415" spans="6:32" ht="22.25" customHeight="1" x14ac:dyDescent="0.4">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row>
    <row r="416" spans="6:32" ht="22.25" customHeight="1" x14ac:dyDescent="0.4">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row>
    <row r="417" spans="6:32" ht="22.25" customHeight="1" x14ac:dyDescent="0.4">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row>
    <row r="418" spans="6:32" ht="22.25" customHeight="1" x14ac:dyDescent="0.4">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row>
    <row r="419" spans="6:32" ht="22.25" customHeight="1" x14ac:dyDescent="0.4">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row>
    <row r="420" spans="6:32" ht="22.25" customHeight="1" x14ac:dyDescent="0.4">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row>
    <row r="421" spans="6:32" ht="22.25" customHeight="1" x14ac:dyDescent="0.4">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row>
    <row r="422" spans="6:32" ht="22.25" customHeight="1" x14ac:dyDescent="0.4">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row>
    <row r="423" spans="6:32" ht="22.25" customHeight="1" x14ac:dyDescent="0.4">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row>
    <row r="424" spans="6:32" ht="22.25" customHeight="1" x14ac:dyDescent="0.4">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row>
    <row r="425" spans="6:32" ht="22.25" customHeight="1" x14ac:dyDescent="0.4">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row>
    <row r="426" spans="6:32" ht="22.25" customHeight="1" x14ac:dyDescent="0.4">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row>
    <row r="427" spans="6:32" ht="22.25" customHeight="1" x14ac:dyDescent="0.4">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row>
    <row r="428" spans="6:32" ht="22.25" customHeight="1" x14ac:dyDescent="0.4">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row>
    <row r="429" spans="6:32" ht="22.25" customHeight="1" x14ac:dyDescent="0.4">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row>
    <row r="430" spans="6:32" ht="22.25" customHeight="1" x14ac:dyDescent="0.4">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row>
    <row r="431" spans="6:32" ht="22.25" customHeight="1" x14ac:dyDescent="0.4">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row>
    <row r="432" spans="6:32" ht="22.25" customHeight="1" x14ac:dyDescent="0.4">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row>
    <row r="433" spans="6:32" ht="22.25" customHeight="1" x14ac:dyDescent="0.4">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row>
    <row r="434" spans="6:32" ht="22.25" customHeight="1" x14ac:dyDescent="0.4">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row>
    <row r="435" spans="6:32" ht="22.25" customHeight="1" x14ac:dyDescent="0.4">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row>
    <row r="436" spans="6:32" ht="22.25" customHeight="1" x14ac:dyDescent="0.4">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row>
    <row r="437" spans="6:32" ht="22.25" customHeight="1" x14ac:dyDescent="0.4">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row>
    <row r="438" spans="6:32" ht="22.25" customHeight="1" x14ac:dyDescent="0.4">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row>
    <row r="439" spans="6:32" ht="22.25" customHeight="1" x14ac:dyDescent="0.4">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row>
    <row r="440" spans="6:32" ht="22.25" customHeight="1" x14ac:dyDescent="0.4">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row>
    <row r="441" spans="6:32" ht="22.25" customHeight="1" x14ac:dyDescent="0.4">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row>
    <row r="442" spans="6:32" ht="22.25" customHeight="1" x14ac:dyDescent="0.4">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row>
    <row r="443" spans="6:32" ht="22.25" customHeight="1" x14ac:dyDescent="0.4">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row>
    <row r="444" spans="6:32" ht="22.25" customHeight="1" x14ac:dyDescent="0.4">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row>
    <row r="445" spans="6:32" ht="22.25" customHeight="1" x14ac:dyDescent="0.4">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row>
    <row r="446" spans="6:32" ht="22.25" customHeight="1" x14ac:dyDescent="0.4">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row>
    <row r="447" spans="6:32" ht="22.25" customHeight="1" x14ac:dyDescent="0.4">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row>
    <row r="448" spans="6:32" ht="22.25" customHeight="1" x14ac:dyDescent="0.4">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row>
    <row r="449" spans="6:32" ht="22.25" customHeight="1" x14ac:dyDescent="0.4">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row>
    <row r="450" spans="6:32" ht="22.25" customHeight="1" x14ac:dyDescent="0.4">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row>
    <row r="451" spans="6:32" ht="22.25" customHeight="1" x14ac:dyDescent="0.4">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row>
    <row r="452" spans="6:32" ht="22.25" customHeight="1" x14ac:dyDescent="0.4">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row>
    <row r="453" spans="6:32" ht="22.25" customHeight="1" x14ac:dyDescent="0.4">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row>
    <row r="454" spans="6:32" ht="22.25" customHeight="1" x14ac:dyDescent="0.4">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row>
    <row r="455" spans="6:32" ht="22.25" customHeight="1" x14ac:dyDescent="0.4">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row>
    <row r="456" spans="6:32" ht="22.25" customHeight="1" x14ac:dyDescent="0.4">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row>
    <row r="457" spans="6:32" ht="22.25" customHeight="1" x14ac:dyDescent="0.4">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row>
    <row r="458" spans="6:32" ht="22.25" customHeight="1" x14ac:dyDescent="0.4">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row>
    <row r="459" spans="6:32" ht="22.25" customHeight="1" x14ac:dyDescent="0.4">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row>
    <row r="460" spans="6:32" ht="22.25" customHeight="1" x14ac:dyDescent="0.4">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row>
    <row r="461" spans="6:32" ht="22.25" customHeight="1" x14ac:dyDescent="0.4">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row>
    <row r="462" spans="6:32" ht="22.25" customHeight="1" x14ac:dyDescent="0.4">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row>
    <row r="463" spans="6:32" ht="22.25" customHeight="1" x14ac:dyDescent="0.4">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row>
    <row r="464" spans="6:32" ht="22.25" customHeight="1" x14ac:dyDescent="0.4">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row>
    <row r="465" spans="6:32" ht="22.25" customHeight="1" x14ac:dyDescent="0.4">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row>
    <row r="466" spans="6:32" ht="22.25" customHeight="1" x14ac:dyDescent="0.4">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row>
    <row r="467" spans="6:32" ht="22.25" customHeight="1" x14ac:dyDescent="0.4">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row>
    <row r="468" spans="6:32" ht="22.25" customHeight="1" x14ac:dyDescent="0.4">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row>
    <row r="469" spans="6:32" ht="22.25" customHeight="1" x14ac:dyDescent="0.4">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row>
    <row r="470" spans="6:32" ht="22.25" customHeight="1" x14ac:dyDescent="0.4">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row>
    <row r="471" spans="6:32" ht="22.25" customHeight="1" x14ac:dyDescent="0.4">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row>
    <row r="472" spans="6:32" ht="22.25" customHeight="1" x14ac:dyDescent="0.4">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row>
    <row r="473" spans="6:32" ht="22.25" customHeight="1" x14ac:dyDescent="0.4">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row>
    <row r="474" spans="6:32" ht="22.25" customHeight="1" x14ac:dyDescent="0.4">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row>
    <row r="475" spans="6:32" ht="22.25" customHeight="1" x14ac:dyDescent="0.4">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row>
    <row r="476" spans="6:32" ht="22.25" customHeight="1" x14ac:dyDescent="0.4">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row>
    <row r="477" spans="6:32" ht="22.25" customHeight="1" x14ac:dyDescent="0.4">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row>
    <row r="478" spans="6:32" ht="22.25" customHeight="1" x14ac:dyDescent="0.4">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row>
    <row r="479" spans="6:32" ht="22.25" customHeight="1" x14ac:dyDescent="0.4">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row>
    <row r="480" spans="6:32" ht="22.25" customHeight="1" x14ac:dyDescent="0.4">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row>
    <row r="481" spans="6:32" ht="22.25" customHeight="1" x14ac:dyDescent="0.4">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row>
    <row r="482" spans="6:32" ht="22.25" customHeight="1" x14ac:dyDescent="0.4">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row>
    <row r="483" spans="6:32" ht="22.25" customHeight="1" x14ac:dyDescent="0.4">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row>
    <row r="484" spans="6:32" ht="22.25" customHeight="1" x14ac:dyDescent="0.4">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row>
    <row r="485" spans="6:32" ht="22.25" customHeight="1" x14ac:dyDescent="0.4">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row>
    <row r="486" spans="6:32" ht="22.25" customHeight="1" x14ac:dyDescent="0.4">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row>
    <row r="487" spans="6:32" ht="22.25" customHeight="1" x14ac:dyDescent="0.4">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row>
    <row r="488" spans="6:32" ht="22.25" customHeight="1" x14ac:dyDescent="0.4">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row>
    <row r="489" spans="6:32" ht="22.25" customHeight="1" x14ac:dyDescent="0.4">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row>
    <row r="490" spans="6:32" ht="22.25" customHeight="1" x14ac:dyDescent="0.4">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row>
    <row r="491" spans="6:32" ht="22.25" customHeight="1" x14ac:dyDescent="0.4">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row>
    <row r="492" spans="6:32" ht="22.25" customHeight="1" x14ac:dyDescent="0.4">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row>
    <row r="493" spans="6:32" ht="22.25" customHeight="1" x14ac:dyDescent="0.4">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row>
    <row r="494" spans="6:32" ht="22.25" customHeight="1" x14ac:dyDescent="0.4">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row>
    <row r="495" spans="6:32" ht="22.25" customHeight="1" x14ac:dyDescent="0.4">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row>
    <row r="496" spans="6:32" ht="22.25" customHeight="1" x14ac:dyDescent="0.4">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row>
    <row r="497" spans="6:32" ht="22.25" customHeight="1" x14ac:dyDescent="0.4">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row>
    <row r="498" spans="6:32" ht="22.25" customHeight="1" x14ac:dyDescent="0.4">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row>
    <row r="499" spans="6:32" ht="22.25" customHeight="1" x14ac:dyDescent="0.4">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row>
    <row r="500" spans="6:32" ht="22.25" customHeight="1" x14ac:dyDescent="0.4">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row>
    <row r="501" spans="6:32" ht="22.25" customHeight="1" x14ac:dyDescent="0.4">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row>
    <row r="502" spans="6:32" ht="22.25" customHeight="1" x14ac:dyDescent="0.4">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row>
    <row r="503" spans="6:32" ht="22.25" customHeight="1" x14ac:dyDescent="0.4">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row>
    <row r="504" spans="6:32" ht="22.25" customHeight="1" x14ac:dyDescent="0.4">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row>
    <row r="505" spans="6:32" ht="22.25" customHeight="1" x14ac:dyDescent="0.4">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row>
    <row r="506" spans="6:32" ht="22.25" customHeight="1" x14ac:dyDescent="0.4">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row>
    <row r="507" spans="6:32" ht="22.25" customHeight="1" x14ac:dyDescent="0.4">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row>
    <row r="508" spans="6:32" ht="22.25" customHeight="1" x14ac:dyDescent="0.4">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row>
    <row r="509" spans="6:32" ht="22.25" customHeight="1" x14ac:dyDescent="0.4">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row>
    <row r="510" spans="6:32" ht="22.25" customHeight="1" x14ac:dyDescent="0.4">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row>
    <row r="511" spans="6:32" ht="22.25" customHeight="1" x14ac:dyDescent="0.4">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row>
    <row r="512" spans="6:32" ht="22.25" customHeight="1" x14ac:dyDescent="0.4">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row>
    <row r="513" spans="6:32" ht="22.25" customHeight="1" x14ac:dyDescent="0.4">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row>
    <row r="514" spans="6:32" ht="22.25" customHeight="1" x14ac:dyDescent="0.4">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row>
    <row r="515" spans="6:32" ht="22.25" customHeight="1" x14ac:dyDescent="0.4">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row>
    <row r="516" spans="6:32" ht="22.25" customHeight="1" x14ac:dyDescent="0.4">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row>
    <row r="517" spans="6:32" ht="22.25" customHeight="1" x14ac:dyDescent="0.4">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row>
    <row r="518" spans="6:32" ht="22.25" customHeight="1" x14ac:dyDescent="0.4">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row>
    <row r="519" spans="6:32" ht="22.25" customHeight="1" x14ac:dyDescent="0.4">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row>
    <row r="520" spans="6:32" ht="22.25" customHeight="1" x14ac:dyDescent="0.4">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row>
    <row r="521" spans="6:32" ht="22.25" customHeight="1" x14ac:dyDescent="0.4">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row>
    <row r="522" spans="6:32" ht="22.25" customHeight="1" x14ac:dyDescent="0.4">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row>
    <row r="523" spans="6:32" ht="22.25" customHeight="1" x14ac:dyDescent="0.4">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row>
    <row r="524" spans="6:32" ht="22.25" customHeight="1" x14ac:dyDescent="0.4">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row>
    <row r="525" spans="6:32" ht="22.25" customHeight="1" x14ac:dyDescent="0.4">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row>
    <row r="526" spans="6:32" ht="22.25" customHeight="1" x14ac:dyDescent="0.4">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row>
    <row r="527" spans="6:32" ht="22.25" customHeight="1" x14ac:dyDescent="0.4">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row>
    <row r="528" spans="6:32" ht="22.25" customHeight="1" x14ac:dyDescent="0.4">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row>
    <row r="529" spans="6:32" ht="22.25" customHeight="1" x14ac:dyDescent="0.4">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row>
    <row r="530" spans="6:32" ht="22.25" customHeight="1" x14ac:dyDescent="0.4">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row>
    <row r="531" spans="6:32" ht="22.25" customHeight="1" x14ac:dyDescent="0.4">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row>
    <row r="532" spans="6:32" ht="22.25" customHeight="1" x14ac:dyDescent="0.4">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row>
    <row r="533" spans="6:32" ht="22.25" customHeight="1" x14ac:dyDescent="0.4">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row>
    <row r="534" spans="6:32" ht="22.25" customHeight="1" x14ac:dyDescent="0.4">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row>
    <row r="535" spans="6:32" ht="22.25" customHeight="1" x14ac:dyDescent="0.4">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row>
    <row r="536" spans="6:32" ht="22.25" customHeight="1" x14ac:dyDescent="0.4">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row>
    <row r="537" spans="6:32" ht="22.25" customHeight="1" x14ac:dyDescent="0.4">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row>
    <row r="538" spans="6:32" ht="22.25" customHeight="1" x14ac:dyDescent="0.4">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row>
    <row r="539" spans="6:32" ht="22.25" customHeight="1" x14ac:dyDescent="0.4">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row>
    <row r="540" spans="6:32" ht="22.25" customHeight="1" x14ac:dyDescent="0.4">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row>
    <row r="541" spans="6:32" ht="22.25" customHeight="1" x14ac:dyDescent="0.4">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row>
    <row r="542" spans="6:32" ht="22.25" customHeight="1" x14ac:dyDescent="0.4">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row>
    <row r="543" spans="6:32" ht="22.25" customHeight="1" x14ac:dyDescent="0.4">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row>
    <row r="544" spans="6:32" ht="22.25" customHeight="1" x14ac:dyDescent="0.4">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row>
    <row r="545" spans="6:32" ht="22.25" customHeight="1" x14ac:dyDescent="0.4">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row>
    <row r="546" spans="6:32" ht="22.25" customHeight="1" x14ac:dyDescent="0.4">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row>
    <row r="547" spans="6:32" ht="22.25" customHeight="1" x14ac:dyDescent="0.4">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row>
    <row r="548" spans="6:32" ht="22.25" customHeight="1" x14ac:dyDescent="0.4">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row>
    <row r="549" spans="6:32" ht="22.25" customHeight="1" x14ac:dyDescent="0.4">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row>
    <row r="550" spans="6:32" ht="22.25" customHeight="1" x14ac:dyDescent="0.4">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row>
    <row r="551" spans="6:32" ht="22.25" customHeight="1" x14ac:dyDescent="0.4">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row>
    <row r="552" spans="6:32" ht="22.25" customHeight="1" x14ac:dyDescent="0.4">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row>
    <row r="553" spans="6:32" ht="22.25" customHeight="1" x14ac:dyDescent="0.4">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row>
    <row r="554" spans="6:32" ht="22.25" customHeight="1" x14ac:dyDescent="0.4">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row>
    <row r="555" spans="6:32" ht="22.25" customHeight="1" x14ac:dyDescent="0.4">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row>
    <row r="556" spans="6:32" ht="22.25" customHeight="1" x14ac:dyDescent="0.4">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row>
    <row r="557" spans="6:32" ht="22.25" customHeight="1" x14ac:dyDescent="0.4">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row>
    <row r="558" spans="6:32" ht="22.25" customHeight="1" x14ac:dyDescent="0.4">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row>
    <row r="559" spans="6:32" ht="22.25" customHeight="1" x14ac:dyDescent="0.4">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row>
    <row r="560" spans="6:32" ht="22.25" customHeight="1" x14ac:dyDescent="0.4">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row>
    <row r="561" spans="6:32" ht="22.25" customHeight="1" x14ac:dyDescent="0.4">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row>
    <row r="562" spans="6:32" ht="22.25" customHeight="1" x14ac:dyDescent="0.4">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row>
    <row r="563" spans="6:32" ht="22.25" customHeight="1" x14ac:dyDescent="0.4">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row>
    <row r="564" spans="6:32" ht="22.25" customHeight="1" x14ac:dyDescent="0.4">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row>
    <row r="565" spans="6:32" ht="22.25" customHeight="1" x14ac:dyDescent="0.4">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row>
    <row r="566" spans="6:32" ht="22.25" customHeight="1" x14ac:dyDescent="0.4">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row>
    <row r="567" spans="6:32" ht="22.25" customHeight="1" x14ac:dyDescent="0.4">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row>
    <row r="568" spans="6:32" ht="22.25" customHeight="1" x14ac:dyDescent="0.4">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row>
    <row r="569" spans="6:32" ht="22.25" customHeight="1" x14ac:dyDescent="0.4">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row>
    <row r="570" spans="6:32" ht="22.25" customHeight="1" x14ac:dyDescent="0.4">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row>
    <row r="571" spans="6:32" ht="22.25" customHeight="1" x14ac:dyDescent="0.4">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row>
    <row r="572" spans="6:32" ht="22.25" customHeight="1" x14ac:dyDescent="0.4">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row>
    <row r="573" spans="6:32" ht="22.25" customHeight="1" x14ac:dyDescent="0.4">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row>
    <row r="574" spans="6:32" ht="22.25" customHeight="1" x14ac:dyDescent="0.4">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row>
    <row r="575" spans="6:32" ht="22.25" customHeight="1" x14ac:dyDescent="0.4">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row>
    <row r="576" spans="6:32" ht="22.25" customHeight="1" x14ac:dyDescent="0.4">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row>
    <row r="577" spans="6:32" ht="22.25" customHeight="1" x14ac:dyDescent="0.4">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row>
    <row r="578" spans="6:32" ht="22.25" customHeight="1" x14ac:dyDescent="0.4">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row>
    <row r="579" spans="6:32" ht="22.25" customHeight="1" x14ac:dyDescent="0.4">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row>
    <row r="580" spans="6:32" ht="22.25" customHeight="1" x14ac:dyDescent="0.4">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row>
    <row r="581" spans="6:32" ht="22.25" customHeight="1" x14ac:dyDescent="0.4">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row>
    <row r="582" spans="6:32" ht="22.25" customHeight="1" x14ac:dyDescent="0.4">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row>
    <row r="583" spans="6:32" ht="22.25" customHeight="1" x14ac:dyDescent="0.4">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row>
    <row r="584" spans="6:32" ht="22.25" customHeight="1" x14ac:dyDescent="0.4">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row>
    <row r="585" spans="6:32" ht="22.25" customHeight="1" x14ac:dyDescent="0.4">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row>
    <row r="586" spans="6:32" ht="22.25" customHeight="1" x14ac:dyDescent="0.4">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row>
    <row r="587" spans="6:32" ht="22.25" customHeight="1" x14ac:dyDescent="0.4">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row>
    <row r="588" spans="6:32" ht="22.25" customHeight="1" x14ac:dyDescent="0.4">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row>
    <row r="589" spans="6:32" ht="22.25" customHeight="1" x14ac:dyDescent="0.4">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row>
    <row r="590" spans="6:32" ht="22.25" customHeight="1" x14ac:dyDescent="0.4">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row>
    <row r="591" spans="6:32" ht="22.25" customHeight="1" x14ac:dyDescent="0.4">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row>
    <row r="592" spans="6:32" ht="22.25" customHeight="1" x14ac:dyDescent="0.4">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row>
    <row r="593" spans="6:32" ht="22.25" customHeight="1" x14ac:dyDescent="0.4">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row>
    <row r="594" spans="6:32" ht="22.25" customHeight="1" x14ac:dyDescent="0.4">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row>
    <row r="595" spans="6:32" ht="22.25" customHeight="1" x14ac:dyDescent="0.4">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row>
    <row r="596" spans="6:32" ht="22.25" customHeight="1" x14ac:dyDescent="0.4">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row>
    <row r="597" spans="6:32" ht="22.25" customHeight="1" x14ac:dyDescent="0.4">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row>
    <row r="598" spans="6:32" ht="22.25" customHeight="1" x14ac:dyDescent="0.4">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row>
    <row r="599" spans="6:32" ht="22.25" customHeight="1" x14ac:dyDescent="0.4">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row>
    <row r="600" spans="6:32" ht="22.25" customHeight="1" x14ac:dyDescent="0.4">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row>
    <row r="601" spans="6:32" ht="22.25" customHeight="1" x14ac:dyDescent="0.4">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row>
    <row r="602" spans="6:32" ht="22.25" customHeight="1" x14ac:dyDescent="0.4">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row>
    <row r="603" spans="6:32" ht="22.25" customHeight="1" x14ac:dyDescent="0.4">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row>
    <row r="604" spans="6:32" ht="22.25" customHeight="1" x14ac:dyDescent="0.4">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row>
    <row r="605" spans="6:32" ht="22.25" customHeight="1" x14ac:dyDescent="0.4">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row>
    <row r="606" spans="6:32" ht="22.25" customHeight="1" x14ac:dyDescent="0.4">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row>
    <row r="607" spans="6:32" ht="22.25" customHeight="1" x14ac:dyDescent="0.4">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row>
    <row r="608" spans="6:32" ht="22.25" customHeight="1" x14ac:dyDescent="0.4">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row>
    <row r="609" spans="6:32" ht="22.25" customHeight="1" x14ac:dyDescent="0.4">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row>
    <row r="610" spans="6:32" ht="22.25" customHeight="1" x14ac:dyDescent="0.4">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row>
    <row r="611" spans="6:32" ht="22.25" customHeight="1" x14ac:dyDescent="0.4">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row>
    <row r="612" spans="6:32" ht="22.25" customHeight="1" x14ac:dyDescent="0.4">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row>
    <row r="613" spans="6:32" ht="22.25" customHeight="1" x14ac:dyDescent="0.4">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row>
    <row r="614" spans="6:32" ht="22.25" customHeight="1" x14ac:dyDescent="0.4">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row>
    <row r="615" spans="6:32" ht="22.25" customHeight="1" x14ac:dyDescent="0.4">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row>
    <row r="616" spans="6:32" ht="22.25" customHeight="1" x14ac:dyDescent="0.4">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row>
    <row r="617" spans="6:32" ht="22.25" customHeight="1" x14ac:dyDescent="0.4">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row>
    <row r="618" spans="6:32" ht="22.25" customHeight="1" x14ac:dyDescent="0.4">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row>
    <row r="619" spans="6:32" ht="22.25" customHeight="1" x14ac:dyDescent="0.4">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row>
    <row r="620" spans="6:32" ht="22.25" customHeight="1" x14ac:dyDescent="0.4">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row>
    <row r="621" spans="6:32" ht="22.25" customHeight="1" x14ac:dyDescent="0.4">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row>
    <row r="622" spans="6:32" ht="22.25" customHeight="1" x14ac:dyDescent="0.4">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row>
    <row r="623" spans="6:32" ht="22.25" customHeight="1" x14ac:dyDescent="0.4">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row>
    <row r="624" spans="6:32" ht="22.25" customHeight="1" x14ac:dyDescent="0.4">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row>
    <row r="625" spans="6:32" ht="22.25" customHeight="1" x14ac:dyDescent="0.4">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row>
    <row r="626" spans="6:32" ht="22.25" customHeight="1" x14ac:dyDescent="0.4">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row>
    <row r="627" spans="6:32" ht="22.25" customHeight="1" x14ac:dyDescent="0.4">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row>
    <row r="628" spans="6:32" ht="22.25" customHeight="1" x14ac:dyDescent="0.4">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row>
    <row r="629" spans="6:32" ht="22.25" customHeight="1" x14ac:dyDescent="0.4">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row>
    <row r="630" spans="6:32" ht="22.25" customHeight="1" x14ac:dyDescent="0.4">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row>
    <row r="631" spans="6:32" ht="22.25" customHeight="1" x14ac:dyDescent="0.4">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row>
    <row r="632" spans="6:32" ht="22.25" customHeight="1" x14ac:dyDescent="0.4">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row>
    <row r="633" spans="6:32" ht="22.25" customHeight="1" x14ac:dyDescent="0.4">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row>
    <row r="634" spans="6:32" ht="22.25" customHeight="1" x14ac:dyDescent="0.4">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row>
    <row r="635" spans="6:32" ht="22.25" customHeight="1" x14ac:dyDescent="0.4">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row>
    <row r="636" spans="6:32" ht="22.25" customHeight="1" x14ac:dyDescent="0.4">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row>
    <row r="637" spans="6:32" ht="22.25" customHeight="1" x14ac:dyDescent="0.4">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row>
    <row r="638" spans="6:32" ht="22.25" customHeight="1" x14ac:dyDescent="0.4">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row>
    <row r="639" spans="6:32" ht="22.25" customHeight="1" x14ac:dyDescent="0.4">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row>
    <row r="640" spans="6:32" ht="22.25" customHeight="1" x14ac:dyDescent="0.4">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row>
    <row r="641" spans="6:32" ht="22.25" customHeight="1" x14ac:dyDescent="0.4">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row>
    <row r="642" spans="6:32" ht="22.25" customHeight="1" x14ac:dyDescent="0.4">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row>
    <row r="643" spans="6:32" ht="22.25" customHeight="1" x14ac:dyDescent="0.4">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row>
    <row r="644" spans="6:32" ht="22.25" customHeight="1" x14ac:dyDescent="0.4">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row>
    <row r="645" spans="6:32" ht="22.25" customHeight="1" x14ac:dyDescent="0.4">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row>
    <row r="646" spans="6:32" ht="22.25" customHeight="1" x14ac:dyDescent="0.4">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row>
    <row r="647" spans="6:32" ht="22.25" customHeight="1" x14ac:dyDescent="0.4">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row>
    <row r="648" spans="6:32" ht="22.25" customHeight="1" x14ac:dyDescent="0.4">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row>
    <row r="649" spans="6:32" ht="22.25" customHeight="1" x14ac:dyDescent="0.4">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row>
    <row r="650" spans="6:32" ht="22.25" customHeight="1" x14ac:dyDescent="0.4">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row>
    <row r="651" spans="6:32" ht="22.25" customHeight="1" x14ac:dyDescent="0.4">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row>
    <row r="652" spans="6:32" ht="22.25" customHeight="1" x14ac:dyDescent="0.4">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row>
    <row r="653" spans="6:32" ht="22.25" customHeight="1" x14ac:dyDescent="0.4">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row>
    <row r="654" spans="6:32" ht="22.25" customHeight="1" x14ac:dyDescent="0.4">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row>
    <row r="655" spans="6:32" ht="22.25" customHeight="1" x14ac:dyDescent="0.4">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row>
    <row r="656" spans="6:32" ht="22.25" customHeight="1" x14ac:dyDescent="0.4">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row>
    <row r="657" spans="6:32" ht="22.25" customHeight="1" x14ac:dyDescent="0.4">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row>
    <row r="658" spans="6:32" ht="22.25" customHeight="1" x14ac:dyDescent="0.4">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row>
    <row r="659" spans="6:32" ht="22.25" customHeight="1" x14ac:dyDescent="0.4">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row>
    <row r="660" spans="6:32" ht="22.25" customHeight="1" x14ac:dyDescent="0.4">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row>
    <row r="661" spans="6:32" ht="22.25" customHeight="1" x14ac:dyDescent="0.4">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row>
    <row r="662" spans="6:32" ht="22.25" customHeight="1" x14ac:dyDescent="0.4">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row>
    <row r="663" spans="6:32" ht="22.25" customHeight="1" x14ac:dyDescent="0.4">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row>
    <row r="664" spans="6:32" ht="22.25" customHeight="1" x14ac:dyDescent="0.4">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row>
    <row r="665" spans="6:32" ht="22.25" customHeight="1" x14ac:dyDescent="0.4">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row>
    <row r="666" spans="6:32" ht="22.25" customHeight="1" x14ac:dyDescent="0.4">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row>
    <row r="667" spans="6:32" ht="22.25" customHeight="1" x14ac:dyDescent="0.4">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row>
    <row r="668" spans="6:32" ht="22.25" customHeight="1" x14ac:dyDescent="0.4">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row>
    <row r="669" spans="6:32" ht="22.25" customHeight="1" x14ac:dyDescent="0.4">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row>
    <row r="670" spans="6:32" ht="22.25" customHeight="1" x14ac:dyDescent="0.4">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row>
    <row r="671" spans="6:32" ht="22.25" customHeight="1" x14ac:dyDescent="0.4">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row>
    <row r="672" spans="6:32" ht="22.25" customHeight="1" x14ac:dyDescent="0.4">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row>
    <row r="673" spans="6:32" ht="22.25" customHeight="1" x14ac:dyDescent="0.4">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row>
    <row r="674" spans="6:32" ht="22.25" customHeight="1" x14ac:dyDescent="0.4">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row>
    <row r="675" spans="6:32" ht="22.25" customHeight="1" x14ac:dyDescent="0.4">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row>
    <row r="676" spans="6:32" ht="22.25" customHeight="1" x14ac:dyDescent="0.4">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row>
    <row r="677" spans="6:32" ht="22.25" customHeight="1" x14ac:dyDescent="0.4">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row>
    <row r="678" spans="6:32" ht="22.25" customHeight="1" x14ac:dyDescent="0.4">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row>
    <row r="679" spans="6:32" ht="22.25" customHeight="1" x14ac:dyDescent="0.4">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row>
    <row r="680" spans="6:32" ht="22.25" customHeight="1" x14ac:dyDescent="0.4">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row>
    <row r="681" spans="6:32" ht="22.25" customHeight="1" x14ac:dyDescent="0.4">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row>
    <row r="682" spans="6:32" ht="22.25" customHeight="1" x14ac:dyDescent="0.4">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row>
    <row r="683" spans="6:32" ht="22.25" customHeight="1" x14ac:dyDescent="0.4">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row>
    <row r="684" spans="6:32" ht="22.25" customHeight="1" x14ac:dyDescent="0.4">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row>
    <row r="685" spans="6:32" ht="22.25" customHeight="1" x14ac:dyDescent="0.4">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row>
    <row r="686" spans="6:32" ht="22.25" customHeight="1" x14ac:dyDescent="0.4">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row>
    <row r="687" spans="6:32" ht="22.25" customHeight="1" x14ac:dyDescent="0.4">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row>
    <row r="688" spans="6:32" ht="22.25" customHeight="1" x14ac:dyDescent="0.4">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row>
    <row r="689" spans="6:32" ht="22.25" customHeight="1" x14ac:dyDescent="0.4">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row>
    <row r="690" spans="6:32" ht="22.25" customHeight="1" x14ac:dyDescent="0.4">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row>
    <row r="691" spans="6:32" ht="22.25" customHeight="1" x14ac:dyDescent="0.4">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row>
    <row r="692" spans="6:32" ht="22.25" customHeight="1" x14ac:dyDescent="0.4">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row>
    <row r="693" spans="6:32" ht="22.25" customHeight="1" x14ac:dyDescent="0.4">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row>
    <row r="694" spans="6:32" ht="22.25" customHeight="1" x14ac:dyDescent="0.4">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row>
    <row r="695" spans="6:32" ht="22.25" customHeight="1" x14ac:dyDescent="0.4">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row>
    <row r="696" spans="6:32" ht="22.25" customHeight="1" x14ac:dyDescent="0.4">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row>
    <row r="697" spans="6:32" ht="22.25" customHeight="1" x14ac:dyDescent="0.4">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row>
    <row r="698" spans="6:32" ht="22.25" customHeight="1" x14ac:dyDescent="0.4">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row>
    <row r="699" spans="6:32" ht="22.25" customHeight="1" x14ac:dyDescent="0.4">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row>
    <row r="700" spans="6:32" ht="22.25" customHeight="1" x14ac:dyDescent="0.4">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row>
    <row r="701" spans="6:32" ht="22.25" customHeight="1" x14ac:dyDescent="0.4">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row>
    <row r="702" spans="6:32" ht="22.25" customHeight="1" x14ac:dyDescent="0.4">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row>
    <row r="703" spans="6:32" ht="22.25" customHeight="1" x14ac:dyDescent="0.4">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row>
    <row r="704" spans="6:32" ht="22.25" customHeight="1" x14ac:dyDescent="0.4">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row>
    <row r="705" spans="6:32" ht="22.25" customHeight="1" x14ac:dyDescent="0.4">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row>
    <row r="706" spans="6:32" ht="22.25" customHeight="1" x14ac:dyDescent="0.4">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row>
    <row r="707" spans="6:32" ht="22.25" customHeight="1" x14ac:dyDescent="0.4">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row>
    <row r="708" spans="6:32" ht="22.25" customHeight="1" x14ac:dyDescent="0.4">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row>
    <row r="709" spans="6:32" ht="22.25" customHeight="1" x14ac:dyDescent="0.4">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row>
    <row r="710" spans="6:32" ht="22.25" customHeight="1" x14ac:dyDescent="0.4">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row>
    <row r="711" spans="6:32" ht="22.25" customHeight="1" x14ac:dyDescent="0.4">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row>
    <row r="712" spans="6:32" ht="22.25" customHeight="1" x14ac:dyDescent="0.4">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row>
    <row r="713" spans="6:32" ht="22.25" customHeight="1" x14ac:dyDescent="0.4">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row>
    <row r="714" spans="6:32" ht="22.25" customHeight="1" x14ac:dyDescent="0.4">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row>
    <row r="715" spans="6:32" ht="22.25" customHeight="1" x14ac:dyDescent="0.4">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row>
    <row r="716" spans="6:32" ht="22.25" customHeight="1" x14ac:dyDescent="0.4">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row>
    <row r="717" spans="6:32" ht="22.25" customHeight="1" x14ac:dyDescent="0.4">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row>
    <row r="718" spans="6:32" ht="22.25" customHeight="1" x14ac:dyDescent="0.4">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row>
    <row r="719" spans="6:32" ht="22.25" customHeight="1" x14ac:dyDescent="0.4">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row>
    <row r="720" spans="6:32" ht="22.25" customHeight="1" x14ac:dyDescent="0.4">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row>
    <row r="721" spans="6:32" ht="22.25" customHeight="1" x14ac:dyDescent="0.4">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row>
    <row r="722" spans="6:32" ht="22.25" customHeight="1" x14ac:dyDescent="0.4">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row>
    <row r="723" spans="6:32" ht="22.25" customHeight="1" x14ac:dyDescent="0.4">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row>
    <row r="724" spans="6:32" ht="22.25" customHeight="1" x14ac:dyDescent="0.4">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row>
    <row r="725" spans="6:32" ht="22.25" customHeight="1" x14ac:dyDescent="0.4">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row>
    <row r="726" spans="6:32" ht="22.25" customHeight="1" x14ac:dyDescent="0.4">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row>
    <row r="727" spans="6:32" ht="22.25" customHeight="1" x14ac:dyDescent="0.4">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row>
    <row r="728" spans="6:32" ht="22.25" customHeight="1" x14ac:dyDescent="0.4">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row>
    <row r="729" spans="6:32" ht="22.25" customHeight="1" x14ac:dyDescent="0.4">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row>
    <row r="730" spans="6:32" ht="22.25" customHeight="1" x14ac:dyDescent="0.4">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row>
    <row r="731" spans="6:32" ht="22.25" customHeight="1" x14ac:dyDescent="0.4">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row>
    <row r="732" spans="6:32" ht="22.25" customHeight="1" x14ac:dyDescent="0.4">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row>
    <row r="733" spans="6:32" ht="22.25" customHeight="1" x14ac:dyDescent="0.4">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row>
    <row r="734" spans="6:32" ht="22.25" customHeight="1" x14ac:dyDescent="0.4">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row>
    <row r="735" spans="6:32" ht="22.25" customHeight="1" x14ac:dyDescent="0.4">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row>
    <row r="736" spans="6:32" ht="22.25" customHeight="1" x14ac:dyDescent="0.4">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row>
    <row r="737" spans="6:32" ht="22.25" customHeight="1" x14ac:dyDescent="0.4">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row>
    <row r="738" spans="6:32" ht="22.25" customHeight="1" x14ac:dyDescent="0.4">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row>
    <row r="739" spans="6:32" ht="22.25" customHeight="1" x14ac:dyDescent="0.4">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row>
    <row r="740" spans="6:32" ht="22.25" customHeight="1" x14ac:dyDescent="0.4">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row>
    <row r="741" spans="6:32" ht="22.25" customHeight="1" x14ac:dyDescent="0.4">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row>
    <row r="742" spans="6:32" ht="22.25" customHeight="1" x14ac:dyDescent="0.4">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row>
    <row r="743" spans="6:32" ht="22.25" customHeight="1" x14ac:dyDescent="0.4">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row>
    <row r="744" spans="6:32" ht="22.25" customHeight="1" x14ac:dyDescent="0.4">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row>
    <row r="745" spans="6:32" ht="22.25" customHeight="1" x14ac:dyDescent="0.4">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row>
    <row r="746" spans="6:32" ht="22.25" customHeight="1" x14ac:dyDescent="0.4">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row>
    <row r="747" spans="6:32" ht="22.25" customHeight="1" x14ac:dyDescent="0.4">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row>
    <row r="748" spans="6:32" ht="22.25" customHeight="1" x14ac:dyDescent="0.4">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row>
    <row r="749" spans="6:32" ht="22.25" customHeight="1" x14ac:dyDescent="0.4">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row>
    <row r="750" spans="6:32" ht="22.25" customHeight="1" x14ac:dyDescent="0.4">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row>
    <row r="751" spans="6:32" ht="22.25" customHeight="1" x14ac:dyDescent="0.4">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row>
    <row r="752" spans="6:32" ht="22.25" customHeight="1" x14ac:dyDescent="0.4">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row>
    <row r="753" spans="6:32" ht="22.25" customHeight="1" x14ac:dyDescent="0.4">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row>
    <row r="754" spans="6:32" ht="22.25" customHeight="1" x14ac:dyDescent="0.4">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row>
    <row r="755" spans="6:32" ht="22.25" customHeight="1" x14ac:dyDescent="0.4">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row>
    <row r="756" spans="6:32" ht="22.25" customHeight="1" x14ac:dyDescent="0.4">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row>
    <row r="757" spans="6:32" ht="22.25" customHeight="1" x14ac:dyDescent="0.4">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row>
    <row r="758" spans="6:32" ht="22.25" customHeight="1" x14ac:dyDescent="0.4">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row>
    <row r="759" spans="6:32" ht="22.25" customHeight="1" x14ac:dyDescent="0.4">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row>
    <row r="760" spans="6:32" ht="22.25" customHeight="1" x14ac:dyDescent="0.4">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row>
    <row r="761" spans="6:32" ht="22.25" customHeight="1" x14ac:dyDescent="0.4">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row>
    <row r="762" spans="6:32" ht="22.25" customHeight="1" x14ac:dyDescent="0.4">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row>
    <row r="763" spans="6:32" ht="22.25" customHeight="1" x14ac:dyDescent="0.4">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row>
    <row r="764" spans="6:32" ht="22.25" customHeight="1" x14ac:dyDescent="0.4">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row>
    <row r="765" spans="6:32" ht="22.25" customHeight="1" x14ac:dyDescent="0.4">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row>
    <row r="766" spans="6:32" ht="22.25" customHeight="1" x14ac:dyDescent="0.4">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row>
    <row r="767" spans="6:32" ht="22.25" customHeight="1" x14ac:dyDescent="0.4">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row>
    <row r="768" spans="6:32" ht="22.25" customHeight="1" x14ac:dyDescent="0.4">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row>
    <row r="769" spans="6:32" ht="22.25" customHeight="1" x14ac:dyDescent="0.4">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row>
    <row r="770" spans="6:32" ht="22.25" customHeight="1" x14ac:dyDescent="0.4">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row>
    <row r="771" spans="6:32" ht="22.25" customHeight="1" x14ac:dyDescent="0.4">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row>
    <row r="772" spans="6:32" ht="22.25" customHeight="1" x14ac:dyDescent="0.4">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row>
    <row r="773" spans="6:32" ht="22.25" customHeight="1" x14ac:dyDescent="0.4">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row>
    <row r="774" spans="6:32" ht="22.25" customHeight="1" x14ac:dyDescent="0.4">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row>
    <row r="775" spans="6:32" ht="22.25" customHeight="1" x14ac:dyDescent="0.4">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row>
    <row r="776" spans="6:32" ht="22.25" customHeight="1" x14ac:dyDescent="0.4">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row>
    <row r="777" spans="6:32" ht="22.25" customHeight="1" x14ac:dyDescent="0.4">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row>
    <row r="778" spans="6:32" ht="22.25" customHeight="1" x14ac:dyDescent="0.4">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row>
    <row r="779" spans="6:32" ht="22.25" customHeight="1" x14ac:dyDescent="0.4">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row>
    <row r="780" spans="6:32" ht="22.25" customHeight="1" x14ac:dyDescent="0.4">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row>
    <row r="781" spans="6:32" ht="22.25" customHeight="1" x14ac:dyDescent="0.4">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row>
    <row r="782" spans="6:32" ht="22.25" customHeight="1" x14ac:dyDescent="0.4">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row>
    <row r="783" spans="6:32" ht="22.25" customHeight="1" x14ac:dyDescent="0.4">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row>
    <row r="784" spans="6:32" ht="22.25" customHeight="1" x14ac:dyDescent="0.4">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row>
    <row r="785" spans="6:32" ht="22.25" customHeight="1" x14ac:dyDescent="0.4">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row>
    <row r="786" spans="6:32" ht="22.25" customHeight="1" x14ac:dyDescent="0.4">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row>
    <row r="787" spans="6:32" ht="22.25" customHeight="1" x14ac:dyDescent="0.4">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row>
    <row r="788" spans="6:32" ht="22.25" customHeight="1" x14ac:dyDescent="0.4">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row>
    <row r="789" spans="6:32" ht="22.25" customHeight="1" x14ac:dyDescent="0.4">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row>
    <row r="790" spans="6:32" ht="22.25" customHeight="1" x14ac:dyDescent="0.4">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row>
    <row r="791" spans="6:32" ht="22.25" customHeight="1" x14ac:dyDescent="0.4">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row>
    <row r="792" spans="6:32" ht="22.25" customHeight="1" x14ac:dyDescent="0.4">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row>
    <row r="793" spans="6:32" ht="22.25" customHeight="1" x14ac:dyDescent="0.4">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row>
    <row r="794" spans="6:32" ht="22.25" customHeight="1" x14ac:dyDescent="0.4">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row>
    <row r="795" spans="6:32" ht="22.25" customHeight="1" x14ac:dyDescent="0.4">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row>
    <row r="796" spans="6:32" ht="22.25" customHeight="1" x14ac:dyDescent="0.4">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row>
    <row r="797" spans="6:32" ht="22.25" customHeight="1" x14ac:dyDescent="0.4">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row>
    <row r="798" spans="6:32" ht="22.25" customHeight="1" x14ac:dyDescent="0.4">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row>
    <row r="799" spans="6:32" ht="22.25" customHeight="1" x14ac:dyDescent="0.4">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row>
    <row r="800" spans="6:32" ht="22.25" customHeight="1" x14ac:dyDescent="0.4">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row>
    <row r="801" spans="6:32" ht="22.25" customHeight="1" x14ac:dyDescent="0.4">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row>
    <row r="802" spans="6:32" ht="22.25" customHeight="1" x14ac:dyDescent="0.4">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row>
    <row r="803" spans="6:32" ht="22.25" customHeight="1" x14ac:dyDescent="0.4">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row>
    <row r="804" spans="6:32" ht="22.25" customHeight="1" x14ac:dyDescent="0.4">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row>
    <row r="805" spans="6:32" ht="22.25" customHeight="1" x14ac:dyDescent="0.4">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row>
    <row r="806" spans="6:32" ht="22.25" customHeight="1" x14ac:dyDescent="0.4">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row>
    <row r="807" spans="6:32" ht="22.25" customHeight="1" x14ac:dyDescent="0.4">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row>
    <row r="808" spans="6:32" ht="22.25" customHeight="1" x14ac:dyDescent="0.4">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row>
    <row r="809" spans="6:32" ht="22.25" customHeight="1" x14ac:dyDescent="0.4">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row>
    <row r="810" spans="6:32" ht="22.25" customHeight="1" x14ac:dyDescent="0.4">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row>
    <row r="811" spans="6:32" ht="22.25" customHeight="1" x14ac:dyDescent="0.4">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row>
    <row r="812" spans="6:32" ht="22.25" customHeight="1" x14ac:dyDescent="0.4">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row>
    <row r="813" spans="6:32" ht="22.25" customHeight="1" x14ac:dyDescent="0.4">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row>
    <row r="814" spans="6:32" ht="22.25" customHeight="1" x14ac:dyDescent="0.4">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row>
    <row r="815" spans="6:32" ht="22.25" customHeight="1" x14ac:dyDescent="0.4">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row>
    <row r="816" spans="6:32" ht="22.25" customHeight="1" x14ac:dyDescent="0.4">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row>
    <row r="817" spans="6:32" ht="22.25" customHeight="1" x14ac:dyDescent="0.4">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row>
    <row r="818" spans="6:32" ht="22.25" customHeight="1" x14ac:dyDescent="0.4">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row>
    <row r="819" spans="6:32" ht="22.25" customHeight="1" x14ac:dyDescent="0.4">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row>
    <row r="820" spans="6:32" ht="22.25" customHeight="1" x14ac:dyDescent="0.4">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row>
    <row r="821" spans="6:32" ht="22.25" customHeight="1" x14ac:dyDescent="0.4">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row>
    <row r="822" spans="6:32" ht="22.25" customHeight="1" x14ac:dyDescent="0.4">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row>
    <row r="823" spans="6:32" ht="22.25" customHeight="1" x14ac:dyDescent="0.4">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row>
    <row r="824" spans="6:32" ht="22.25" customHeight="1" x14ac:dyDescent="0.4">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row>
    <row r="825" spans="6:32" ht="22.25" customHeight="1" x14ac:dyDescent="0.4">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row>
    <row r="826" spans="6:32" ht="22.25" customHeight="1" x14ac:dyDescent="0.4">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row>
    <row r="827" spans="6:32" ht="22.25" customHeight="1" x14ac:dyDescent="0.4">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row>
    <row r="828" spans="6:32" ht="22.25" customHeight="1" x14ac:dyDescent="0.4">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row>
    <row r="829" spans="6:32" ht="22.25" customHeight="1" x14ac:dyDescent="0.4">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row>
    <row r="830" spans="6:32" ht="22.25" customHeight="1" x14ac:dyDescent="0.4">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row>
    <row r="831" spans="6:32" ht="22.25" customHeight="1" x14ac:dyDescent="0.4">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row>
    <row r="832" spans="6:32" ht="22.25" customHeight="1" x14ac:dyDescent="0.4">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row>
    <row r="833" spans="6:32" ht="22.25" customHeight="1" x14ac:dyDescent="0.4">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row>
    <row r="834" spans="6:32" ht="22.25" customHeight="1" x14ac:dyDescent="0.4">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row>
    <row r="835" spans="6:32" ht="22.25" customHeight="1" x14ac:dyDescent="0.4">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row>
    <row r="836" spans="6:32" ht="22.25" customHeight="1" x14ac:dyDescent="0.4">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row>
    <row r="837" spans="6:32" ht="22.25" customHeight="1" x14ac:dyDescent="0.4">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row>
    <row r="838" spans="6:32" ht="22.25" customHeight="1" x14ac:dyDescent="0.4">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row>
    <row r="839" spans="6:32" ht="22.25" customHeight="1" x14ac:dyDescent="0.4">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row>
    <row r="840" spans="6:32" ht="22.25" customHeight="1" x14ac:dyDescent="0.4">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row>
    <row r="841" spans="6:32" ht="22.25" customHeight="1" x14ac:dyDescent="0.4">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row>
    <row r="842" spans="6:32" ht="22.25" customHeight="1" x14ac:dyDescent="0.4">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row>
    <row r="843" spans="6:32" ht="22.25" customHeight="1" x14ac:dyDescent="0.4">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row>
    <row r="844" spans="6:32" ht="22.25" customHeight="1" x14ac:dyDescent="0.4">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row>
    <row r="845" spans="6:32" ht="22.25" customHeight="1" x14ac:dyDescent="0.4">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row>
    <row r="846" spans="6:32" ht="22.25" customHeight="1" x14ac:dyDescent="0.4">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row>
    <row r="847" spans="6:32" ht="22.25" customHeight="1" x14ac:dyDescent="0.4">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row>
    <row r="848" spans="6:32" ht="22.25" customHeight="1" x14ac:dyDescent="0.4">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row>
    <row r="849" spans="6:32" ht="22.25" customHeight="1" x14ac:dyDescent="0.4">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row>
    <row r="850" spans="6:32" ht="22.25" customHeight="1" x14ac:dyDescent="0.4">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row>
    <row r="851" spans="6:32" ht="22.25" customHeight="1" x14ac:dyDescent="0.4">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row>
    <row r="852" spans="6:32" ht="22.25" customHeight="1" x14ac:dyDescent="0.4">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row>
    <row r="853" spans="6:32" ht="22.25" customHeight="1" x14ac:dyDescent="0.4">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row>
    <row r="854" spans="6:32" ht="22.25" customHeight="1" x14ac:dyDescent="0.4">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row>
    <row r="855" spans="6:32" ht="22.25" customHeight="1" x14ac:dyDescent="0.4">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row>
    <row r="856" spans="6:32" ht="22.25" customHeight="1" x14ac:dyDescent="0.4">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row>
    <row r="857" spans="6:32" ht="22.25" customHeight="1" x14ac:dyDescent="0.4">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row>
    <row r="858" spans="6:32" ht="22.25" customHeight="1" x14ac:dyDescent="0.4">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row>
    <row r="859" spans="6:32" ht="22.25" customHeight="1" x14ac:dyDescent="0.4">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row>
    <row r="860" spans="6:32" ht="22.25" customHeight="1" x14ac:dyDescent="0.4">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row>
    <row r="861" spans="6:32" ht="22.25" customHeight="1" x14ac:dyDescent="0.4">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row>
    <row r="862" spans="6:32" ht="22.25" customHeight="1" x14ac:dyDescent="0.4">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row>
    <row r="863" spans="6:32" ht="22.25" customHeight="1" x14ac:dyDescent="0.4">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row>
    <row r="864" spans="6:32" ht="22.25" customHeight="1" x14ac:dyDescent="0.4">
      <c r="F864" s="21"/>
      <c r="G864" s="21"/>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row>
    <row r="865" spans="6:32" ht="22.25" customHeight="1" x14ac:dyDescent="0.4">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row>
    <row r="866" spans="6:32" ht="22.25" customHeight="1" x14ac:dyDescent="0.4">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row>
    <row r="867" spans="6:32" ht="22.25" customHeight="1" x14ac:dyDescent="0.4">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row>
    <row r="868" spans="6:32" ht="22.25" customHeight="1" x14ac:dyDescent="0.4">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row>
    <row r="869" spans="6:32" ht="22.25" customHeight="1" x14ac:dyDescent="0.4">
      <c r="F869" s="21"/>
      <c r="G869" s="21"/>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row>
    <row r="870" spans="6:32" ht="22.25" customHeight="1" x14ac:dyDescent="0.4">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row>
    <row r="871" spans="6:32" ht="22.25" customHeight="1" x14ac:dyDescent="0.4">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row>
    <row r="872" spans="6:32" ht="22.25" customHeight="1" x14ac:dyDescent="0.4">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row>
    <row r="873" spans="6:32" ht="22.25" customHeight="1" x14ac:dyDescent="0.4">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row>
    <row r="874" spans="6:32" ht="22.25" customHeight="1" x14ac:dyDescent="0.4">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row>
    <row r="875" spans="6:32" ht="22.25" customHeight="1" x14ac:dyDescent="0.4">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row>
    <row r="876" spans="6:32" ht="22.25" customHeight="1" x14ac:dyDescent="0.4">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row>
    <row r="877" spans="6:32" ht="22.25" customHeight="1" x14ac:dyDescent="0.4">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row>
    <row r="878" spans="6:32" ht="22.25" customHeight="1" x14ac:dyDescent="0.4">
      <c r="F878" s="21"/>
      <c r="G878" s="21"/>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row>
    <row r="879" spans="6:32" ht="22.25" customHeight="1" x14ac:dyDescent="0.4">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row>
    <row r="880" spans="6:32" ht="22.25" customHeight="1" x14ac:dyDescent="0.4">
      <c r="F880" s="21"/>
      <c r="G880" s="21"/>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row>
    <row r="881" spans="6:32" ht="22.25" customHeight="1" x14ac:dyDescent="0.4">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row>
    <row r="882" spans="6:32" ht="22.25" customHeight="1" x14ac:dyDescent="0.4">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row>
    <row r="883" spans="6:32" ht="22.25" customHeight="1" x14ac:dyDescent="0.4">
      <c r="F883" s="21"/>
      <c r="G883" s="21"/>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c r="AE883" s="21"/>
      <c r="AF883" s="21"/>
    </row>
    <row r="884" spans="6:32" ht="22.25" customHeight="1" x14ac:dyDescent="0.4">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row>
    <row r="885" spans="6:32" ht="22.25" customHeight="1" x14ac:dyDescent="0.4">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row>
    <row r="886" spans="6:32" ht="22.25" customHeight="1" x14ac:dyDescent="0.4">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row>
    <row r="887" spans="6:32" ht="22.25" customHeight="1" x14ac:dyDescent="0.4">
      <c r="F887" s="21"/>
      <c r="G887" s="21"/>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row>
    <row r="888" spans="6:32" ht="22.25" customHeight="1" x14ac:dyDescent="0.4">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row>
    <row r="889" spans="6:32" ht="22.25" customHeight="1" x14ac:dyDescent="0.4">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row>
    <row r="890" spans="6:32" ht="22.25" customHeight="1" x14ac:dyDescent="0.4">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row>
    <row r="891" spans="6:32" ht="22.25" customHeight="1" x14ac:dyDescent="0.4">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row>
    <row r="892" spans="6:32" ht="22.25" customHeight="1" x14ac:dyDescent="0.4">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row>
    <row r="893" spans="6:32" ht="22.25" customHeight="1" x14ac:dyDescent="0.4">
      <c r="F893" s="21"/>
      <c r="G893" s="21"/>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row>
    <row r="894" spans="6:32" ht="22.25" customHeight="1" x14ac:dyDescent="0.4">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row>
    <row r="895" spans="6:32" ht="22.25" customHeight="1" x14ac:dyDescent="0.4">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row>
    <row r="896" spans="6:32" ht="22.25" customHeight="1" x14ac:dyDescent="0.4">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row>
    <row r="897" spans="6:32" ht="22.25" customHeight="1" x14ac:dyDescent="0.4">
      <c r="F897" s="21"/>
      <c r="G897" s="21"/>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row>
    <row r="898" spans="6:32" ht="22.25" customHeight="1" x14ac:dyDescent="0.4">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row>
    <row r="899" spans="6:32" ht="22.25" customHeight="1" x14ac:dyDescent="0.4">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row>
    <row r="900" spans="6:32" ht="22.25" customHeight="1" x14ac:dyDescent="0.4">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row>
    <row r="901" spans="6:32" ht="22.25" customHeight="1" x14ac:dyDescent="0.4">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row>
    <row r="902" spans="6:32" ht="22.25" customHeight="1" x14ac:dyDescent="0.4">
      <c r="F902" s="21"/>
      <c r="G902" s="21"/>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row>
    <row r="903" spans="6:32" ht="22.25" customHeight="1" x14ac:dyDescent="0.4">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row>
    <row r="904" spans="6:32" ht="22.25" customHeight="1" x14ac:dyDescent="0.4">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row>
    <row r="905" spans="6:32" ht="22.25" customHeight="1" x14ac:dyDescent="0.4">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row>
    <row r="906" spans="6:32" ht="22.25" customHeight="1" x14ac:dyDescent="0.4">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row>
    <row r="907" spans="6:32" ht="22.25" customHeight="1" x14ac:dyDescent="0.4">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row>
    <row r="908" spans="6:32" ht="22.25" customHeight="1" x14ac:dyDescent="0.4">
      <c r="F908" s="21"/>
      <c r="G908" s="21"/>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row>
    <row r="909" spans="6:32" ht="22.25" customHeight="1" x14ac:dyDescent="0.4">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row>
    <row r="910" spans="6:32" ht="22.25" customHeight="1" x14ac:dyDescent="0.4">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row>
    <row r="911" spans="6:32" ht="22.25" customHeight="1" x14ac:dyDescent="0.4">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row>
    <row r="912" spans="6:32" ht="22.25" customHeight="1" x14ac:dyDescent="0.4">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row>
    <row r="913" spans="6:32" ht="22.25" customHeight="1" x14ac:dyDescent="0.4">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row>
    <row r="914" spans="6:32" ht="22.25" customHeight="1" x14ac:dyDescent="0.4">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row>
    <row r="915" spans="6:32" ht="22.25" customHeight="1" x14ac:dyDescent="0.4">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row>
    <row r="916" spans="6:32" ht="22.25" customHeight="1" x14ac:dyDescent="0.4">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row>
    <row r="917" spans="6:32" ht="22.25" customHeight="1" x14ac:dyDescent="0.4">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row>
    <row r="918" spans="6:32" ht="22.25" customHeight="1" x14ac:dyDescent="0.4">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row>
    <row r="919" spans="6:32" ht="22.25" customHeight="1" x14ac:dyDescent="0.4">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row>
    <row r="920" spans="6:32" ht="22.25" customHeight="1" x14ac:dyDescent="0.4">
      <c r="F920" s="21"/>
      <c r="G920" s="21"/>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row>
    <row r="921" spans="6:32" ht="22.25" customHeight="1" x14ac:dyDescent="0.4">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row>
    <row r="922" spans="6:32" ht="22.25" customHeight="1" x14ac:dyDescent="0.4">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row>
    <row r="923" spans="6:32" ht="22.25" customHeight="1" x14ac:dyDescent="0.4">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row>
    <row r="924" spans="6:32" ht="22.25" customHeight="1" x14ac:dyDescent="0.4">
      <c r="F924" s="21"/>
      <c r="G924" s="21"/>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row>
    <row r="925" spans="6:32" ht="22.25" customHeight="1" x14ac:dyDescent="0.4">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row>
    <row r="926" spans="6:32" ht="22.25" customHeight="1" x14ac:dyDescent="0.4">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row>
    <row r="927" spans="6:32" ht="22.25" customHeight="1" x14ac:dyDescent="0.4">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row>
    <row r="928" spans="6:32" ht="22.25" customHeight="1" x14ac:dyDescent="0.4">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row>
    <row r="929" spans="6:32" ht="22.25" customHeight="1" x14ac:dyDescent="0.4">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row>
    <row r="930" spans="6:32" ht="22.25" customHeight="1" x14ac:dyDescent="0.4">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row>
    <row r="931" spans="6:32" ht="22.25" customHeight="1" x14ac:dyDescent="0.4">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row>
    <row r="932" spans="6:32" ht="22.25" customHeight="1" x14ac:dyDescent="0.4">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row>
    <row r="933" spans="6:32" ht="22.25" customHeight="1" x14ac:dyDescent="0.4">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row>
    <row r="934" spans="6:32" ht="22.25" customHeight="1" x14ac:dyDescent="0.4">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row>
    <row r="935" spans="6:32" ht="22.25" customHeight="1" x14ac:dyDescent="0.4">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row>
    <row r="936" spans="6:32" ht="22.25" customHeight="1" x14ac:dyDescent="0.4">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row>
    <row r="937" spans="6:32" ht="22.25" customHeight="1" x14ac:dyDescent="0.4">
      <c r="F937" s="21"/>
      <c r="G937" s="21"/>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row>
    <row r="938" spans="6:32" ht="22.25" customHeight="1" x14ac:dyDescent="0.4">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row>
    <row r="939" spans="6:32" ht="22.25" customHeight="1" x14ac:dyDescent="0.4">
      <c r="F939" s="21"/>
      <c r="G939" s="21"/>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row>
    <row r="940" spans="6:32" ht="22.25" customHeight="1" x14ac:dyDescent="0.4">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row>
    <row r="941" spans="6:32" ht="22.25" customHeight="1" x14ac:dyDescent="0.4">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row>
    <row r="942" spans="6:32" ht="22.25" customHeight="1" x14ac:dyDescent="0.4">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row>
    <row r="943" spans="6:32" ht="22.25" customHeight="1" x14ac:dyDescent="0.4">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row>
    <row r="944" spans="6:32" ht="22.25" customHeight="1" x14ac:dyDescent="0.4">
      <c r="F944" s="21"/>
      <c r="G944" s="21"/>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row>
    <row r="945" spans="6:32" ht="22.25" customHeight="1" x14ac:dyDescent="0.4">
      <c r="F945" s="21"/>
      <c r="G945" s="21"/>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row>
    <row r="946" spans="6:32" ht="22.25" customHeight="1" x14ac:dyDescent="0.4">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row>
    <row r="947" spans="6:32" ht="22.25" customHeight="1" x14ac:dyDescent="0.4">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row>
    <row r="948" spans="6:32" ht="22.25" customHeight="1" x14ac:dyDescent="0.4">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row>
    <row r="949" spans="6:32" ht="22.25" customHeight="1" x14ac:dyDescent="0.4">
      <c r="F949" s="21"/>
      <c r="G949" s="21"/>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row>
    <row r="950" spans="6:32" ht="22.25" customHeight="1" x14ac:dyDescent="0.4">
      <c r="F950" s="21"/>
      <c r="G950" s="21"/>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row>
    <row r="951" spans="6:32" ht="22.25" customHeight="1" x14ac:dyDescent="0.4">
      <c r="F951" s="21"/>
      <c r="G951" s="21"/>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row>
    <row r="952" spans="6:32" ht="22.25" customHeight="1" x14ac:dyDescent="0.4">
      <c r="F952" s="21"/>
      <c r="G952" s="21"/>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row>
    <row r="953" spans="6:32" ht="22.25" customHeight="1" x14ac:dyDescent="0.4">
      <c r="F953" s="21"/>
      <c r="G953" s="21"/>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row>
    <row r="954" spans="6:32" ht="22.25" customHeight="1" x14ac:dyDescent="0.4">
      <c r="F954" s="21"/>
      <c r="G954" s="21"/>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row>
    <row r="955" spans="6:32" ht="22.25" customHeight="1" x14ac:dyDescent="0.4">
      <c r="F955" s="21"/>
      <c r="G955" s="21"/>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row>
    <row r="956" spans="6:32" ht="22.25" customHeight="1" x14ac:dyDescent="0.4">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row>
    <row r="957" spans="6:32" ht="22.25" customHeight="1" x14ac:dyDescent="0.4">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row>
    <row r="958" spans="6:32" ht="22.25" customHeight="1" x14ac:dyDescent="0.4">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row>
    <row r="959" spans="6:32" ht="22.25" customHeight="1" x14ac:dyDescent="0.4">
      <c r="F959" s="21"/>
      <c r="G959" s="21"/>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row>
    <row r="960" spans="6:32" ht="22.25" customHeight="1" x14ac:dyDescent="0.4">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row>
    <row r="961" spans="6:32" ht="22.25" customHeight="1" x14ac:dyDescent="0.4">
      <c r="F961" s="21"/>
      <c r="G961" s="21"/>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row>
    <row r="962" spans="6:32" ht="22.25" customHeight="1" x14ac:dyDescent="0.4">
      <c r="F962" s="21"/>
      <c r="G962" s="21"/>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row>
    <row r="963" spans="6:32" ht="22.25" customHeight="1" x14ac:dyDescent="0.4">
      <c r="F963" s="21"/>
      <c r="G963" s="21"/>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row>
    <row r="964" spans="6:32" ht="22.25" customHeight="1" x14ac:dyDescent="0.4">
      <c r="F964" s="21"/>
      <c r="G964" s="21"/>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row>
    <row r="965" spans="6:32" ht="22.25" customHeight="1" x14ac:dyDescent="0.4">
      <c r="F965" s="21"/>
      <c r="G965" s="21"/>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row>
    <row r="966" spans="6:32" ht="22.25" customHeight="1" x14ac:dyDescent="0.4">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row>
    <row r="967" spans="6:32" ht="22.25" customHeight="1" x14ac:dyDescent="0.4">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row>
    <row r="968" spans="6:32" ht="22.25" customHeight="1" x14ac:dyDescent="0.4">
      <c r="F968" s="21"/>
      <c r="G968" s="21"/>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row>
    <row r="969" spans="6:32" ht="22.25" customHeight="1" x14ac:dyDescent="0.4">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row>
    <row r="970" spans="6:32" ht="22.25" customHeight="1" x14ac:dyDescent="0.4">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row>
    <row r="971" spans="6:32" ht="22.25" customHeight="1" x14ac:dyDescent="0.4">
      <c r="F971" s="21"/>
      <c r="G971" s="21"/>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row>
    <row r="972" spans="6:32" ht="22.25" customHeight="1" x14ac:dyDescent="0.4">
      <c r="F972" s="21"/>
      <c r="G972" s="21"/>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row>
    <row r="973" spans="6:32" ht="22.25" customHeight="1" x14ac:dyDescent="0.4">
      <c r="F973" s="21"/>
      <c r="G973" s="21"/>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row>
    <row r="974" spans="6:32" ht="22.25" customHeight="1" x14ac:dyDescent="0.4">
      <c r="F974" s="21"/>
      <c r="G974" s="21"/>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row>
    <row r="975" spans="6:32" ht="22.25" customHeight="1" x14ac:dyDescent="0.4">
      <c r="F975" s="21"/>
      <c r="G975" s="21"/>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row>
    <row r="976" spans="6:32" ht="22.25" customHeight="1" x14ac:dyDescent="0.4">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row>
    <row r="977" spans="6:32" ht="22.25" customHeight="1" x14ac:dyDescent="0.4">
      <c r="F977" s="21"/>
      <c r="G977" s="21"/>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row>
    <row r="978" spans="6:32" ht="22.25" customHeight="1" x14ac:dyDescent="0.4">
      <c r="F978" s="21"/>
      <c r="G978" s="21"/>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row>
    <row r="979" spans="6:32" ht="22.25" customHeight="1" x14ac:dyDescent="0.4">
      <c r="F979" s="21"/>
      <c r="G979" s="21"/>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row>
    <row r="980" spans="6:32" ht="22.25" customHeight="1" x14ac:dyDescent="0.4">
      <c r="F980" s="21"/>
      <c r="G980" s="21"/>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c r="AE980" s="21"/>
      <c r="AF980" s="21"/>
    </row>
    <row r="981" spans="6:32" ht="22.25" customHeight="1" x14ac:dyDescent="0.4">
      <c r="F981" s="21"/>
      <c r="G981" s="21"/>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c r="AE981" s="21"/>
      <c r="AF981" s="21"/>
    </row>
    <row r="982" spans="6:32" ht="22.25" customHeight="1" x14ac:dyDescent="0.4">
      <c r="F982" s="21"/>
      <c r="G982" s="21"/>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row>
    <row r="983" spans="6:32" ht="22.25" customHeight="1" x14ac:dyDescent="0.4">
      <c r="F983" s="21"/>
      <c r="G983" s="21"/>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row>
    <row r="984" spans="6:32" ht="22.25" customHeight="1" x14ac:dyDescent="0.4">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row>
    <row r="985" spans="6:32" ht="22.25" customHeight="1" x14ac:dyDescent="0.4">
      <c r="F985" s="21"/>
      <c r="G985" s="21"/>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row>
    <row r="986" spans="6:32" ht="22.25" customHeight="1" x14ac:dyDescent="0.4">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row>
    <row r="987" spans="6:32" ht="22.25" customHeight="1" x14ac:dyDescent="0.4">
      <c r="F987" s="21"/>
      <c r="G987" s="21"/>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row>
    <row r="988" spans="6:32" ht="22.25" customHeight="1" x14ac:dyDescent="0.4">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row>
    <row r="989" spans="6:32" ht="22.25" customHeight="1" x14ac:dyDescent="0.4">
      <c r="F989" s="21"/>
      <c r="G989" s="21"/>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row>
    <row r="990" spans="6:32" ht="22.25" customHeight="1" x14ac:dyDescent="0.4">
      <c r="F990" s="21"/>
      <c r="G990" s="21"/>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row>
    <row r="991" spans="6:32" ht="22.25" customHeight="1" x14ac:dyDescent="0.4">
      <c r="F991" s="21"/>
      <c r="G991" s="21"/>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row>
    <row r="992" spans="6:32" ht="22.25" customHeight="1" x14ac:dyDescent="0.4">
      <c r="F992" s="21"/>
      <c r="G992" s="21"/>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row>
    <row r="993" spans="6:32" ht="22.25" customHeight="1" x14ac:dyDescent="0.4">
      <c r="F993" s="21"/>
      <c r="G993" s="21"/>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row>
    <row r="994" spans="6:32" ht="22.25" customHeight="1" x14ac:dyDescent="0.4">
      <c r="F994" s="21"/>
      <c r="G994" s="21"/>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row>
    <row r="995" spans="6:32" ht="22.25" customHeight="1" x14ac:dyDescent="0.4">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row>
    <row r="996" spans="6:32" ht="22.25" customHeight="1" x14ac:dyDescent="0.4">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row>
    <row r="997" spans="6:32" ht="22.25" customHeight="1" x14ac:dyDescent="0.4">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row>
    <row r="998" spans="6:32" ht="22.25" customHeight="1" x14ac:dyDescent="0.4">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row>
    <row r="999" spans="6:32" ht="22.25" customHeight="1" x14ac:dyDescent="0.4">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row>
    <row r="1000" spans="6:32" ht="22.25" customHeight="1" x14ac:dyDescent="0.4">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row>
  </sheetData>
  <sheetProtection algorithmName="SHA-512" hashValue="s0qUdCwm2xY/j02tq7zKYMEnJGLJG2Rx/o80a9ec7dI29IrXU7bgs7KQwsxhrwfbSQLRjpHa6evFGlffC+0TRA==" saltValue="V8yCCT1d1buU8k2jTl/uNg==" spinCount="100000" sheet="1" objects="1" scenarios="1" formatCells="0" formatColumns="0" autoFilter="0"/>
  <sortState xmlns:xlrd2="http://schemas.microsoft.com/office/spreadsheetml/2017/richdata2" ref="F11:AC32">
    <sortCondition ref="I11"/>
    <sortCondition ref="J11"/>
    <sortCondition ref="M11"/>
  </sortState>
  <mergeCells count="16">
    <mergeCell ref="AI10:AJ10"/>
    <mergeCell ref="A8:D8"/>
    <mergeCell ref="A9:D9"/>
    <mergeCell ref="F8:J8"/>
    <mergeCell ref="O9:P9"/>
    <mergeCell ref="AB8:AF9"/>
    <mergeCell ref="AA8:AA9"/>
    <mergeCell ref="W9:Z9"/>
    <mergeCell ref="S9:V9"/>
    <mergeCell ref="L7:N7"/>
    <mergeCell ref="O5:P5"/>
    <mergeCell ref="Q2:R2"/>
    <mergeCell ref="Q8:R8"/>
    <mergeCell ref="Q9:Q10"/>
    <mergeCell ref="R9:R10"/>
    <mergeCell ref="O8:P8"/>
  </mergeCells>
  <phoneticPr fontId="1" type="noConversion"/>
  <dataValidations count="1">
    <dataValidation type="whole" operator="greaterThanOrEqual" allowBlank="1" showInputMessage="1" showErrorMessage="1" sqref="D12:D59" xr:uid="{00000000-0002-0000-0800-000000000000}">
      <formula1>0</formula1>
    </dataValidation>
  </dataValidations>
  <hyperlinks>
    <hyperlink ref="F8" r:id="rId1" xr:uid="{00000000-0004-0000-08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具名範圍</vt:lpstr>
      </vt:variant>
      <vt:variant>
        <vt:i4>5</vt:i4>
      </vt:variant>
    </vt:vector>
  </HeadingPairs>
  <TitlesOfParts>
    <vt:vector size="16" baseType="lpstr">
      <vt:lpstr>聯絡我</vt:lpstr>
      <vt:lpstr>勞基法1071121</vt:lpstr>
      <vt:lpstr>勞基法施行細則1080214</vt:lpstr>
      <vt:lpstr>問題</vt:lpstr>
      <vt:lpstr>到職日後強制進位至整數</vt:lpstr>
      <vt:lpstr>官方算法_到職日前四捨五入到小數第二位</vt:lpstr>
      <vt:lpstr>到職日後四捨五入進位至整數</vt:lpstr>
      <vt:lpstr>員工資料整理區</vt:lpstr>
      <vt:lpstr>特休試算</vt:lpstr>
      <vt:lpstr>統計表</vt:lpstr>
      <vt:lpstr>Sheet1</vt:lpstr>
      <vt:lpstr>特休試算!_FilterDatabase</vt:lpstr>
      <vt:lpstr>到職日後四捨五入進位至整數!Print_Area</vt:lpstr>
      <vt:lpstr>特休試算!Print_Area</vt:lpstr>
      <vt:lpstr>特休</vt:lpstr>
      <vt:lpstr>特休表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李金國0932342621</dc:creator>
  <cp:lastModifiedBy>Gisin Lee</cp:lastModifiedBy>
  <cp:lastPrinted>2020-01-02T08:10:02Z</cp:lastPrinted>
  <dcterms:created xsi:type="dcterms:W3CDTF">2016-12-14T03:32:09Z</dcterms:created>
  <dcterms:modified xsi:type="dcterms:W3CDTF">2021-02-03T02:04:09Z</dcterms:modified>
</cp:coreProperties>
</file>